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ubc1-burop01\mapaq-communs\SMDRDD-T03\_Groupes\Production animale\Production ovine\Outils\"/>
    </mc:Choice>
  </mc:AlternateContent>
  <xr:revisionPtr revIDLastSave="0" documentId="8_{08E69BAF-42F7-4C02-AD1D-2FE2BD3DC4A3}" xr6:coauthVersionLast="47" xr6:coauthVersionMax="47" xr10:uidLastSave="{00000000-0000-0000-0000-000000000000}"/>
  <workbookProtection lockStructure="1"/>
  <bookViews>
    <workbookView xWindow="-5535" yWindow="-16320" windowWidth="29040" windowHeight="15840" xr2:uid="{00000000-000D-0000-FFFF-FFFF00000000}"/>
  </bookViews>
  <sheets>
    <sheet name="Guide utilisation" sheetId="13" r:id="rId1"/>
    <sheet name="Données techniques" sheetId="4" r:id="rId2"/>
    <sheet name="Calcul remplacement (à masquer)" sheetId="7" state="hidden" r:id="rId3"/>
    <sheet name="BUDGET Acheter ou produire" sheetId="1" r:id="rId4"/>
    <sheet name="BUDGET Amélioration performance" sheetId="17" r:id="rId5"/>
    <sheet name="Financement" sheetId="11" r:id="rId6"/>
  </sheets>
  <definedNames>
    <definedName name="_xlnm.Print_Titles" localSheetId="3">'BUDGET Acheter ou produire'!$1:$2</definedName>
    <definedName name="_xlnm.Print_Titles" localSheetId="1">'Données techniques'!$1:$3</definedName>
    <definedName name="_xlnm.Print_Area" localSheetId="4">'BUDGET Amélioration performance'!$A$1:$M$53</definedName>
    <definedName name="_xlnm.Print_Area" localSheetId="5">Financement!$A$1:$H$67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1" l="1"/>
  <c r="M20" i="17"/>
  <c r="F35" i="17"/>
  <c r="M14" i="1"/>
  <c r="B15" i="7"/>
  <c r="B36" i="4"/>
  <c r="B9" i="4"/>
  <c r="K30" i="1"/>
  <c r="K29" i="1"/>
  <c r="K28" i="1"/>
  <c r="K33" i="17"/>
  <c r="K32" i="17"/>
  <c r="K31" i="17"/>
  <c r="L33" i="17" l="1"/>
  <c r="L32" i="17"/>
  <c r="L31" i="17"/>
  <c r="L28" i="1"/>
  <c r="L30" i="1"/>
  <c r="L29" i="1"/>
  <c r="J30" i="1"/>
  <c r="J29" i="1"/>
  <c r="J28" i="1"/>
  <c r="B7" i="1"/>
  <c r="B7" i="17"/>
  <c r="B37" i="4"/>
  <c r="K25" i="1"/>
  <c r="E25" i="1"/>
  <c r="C25" i="1"/>
  <c r="B7" i="7"/>
  <c r="L27" i="17"/>
  <c r="L28" i="17"/>
  <c r="L26" i="17"/>
  <c r="C28" i="1"/>
  <c r="E22" i="1"/>
  <c r="E21" i="1"/>
  <c r="E20" i="1"/>
  <c r="C19" i="17"/>
  <c r="B19" i="17"/>
  <c r="E15" i="17"/>
  <c r="C15" i="17"/>
  <c r="E14" i="17"/>
  <c r="C14" i="17"/>
  <c r="E13" i="17"/>
  <c r="C13" i="17"/>
  <c r="B4" i="17"/>
  <c r="B3" i="7"/>
  <c r="M30" i="1" l="1"/>
  <c r="M29" i="1"/>
  <c r="M28" i="1"/>
  <c r="B5" i="17"/>
  <c r="B16" i="11"/>
  <c r="B9" i="1" l="1"/>
  <c r="B22" i="1" s="1"/>
  <c r="D29" i="4"/>
  <c r="C13" i="1"/>
  <c r="B13" i="1"/>
  <c r="K20" i="1"/>
  <c r="F13" i="4"/>
  <c r="K26" i="17" s="1"/>
  <c r="E9" i="1"/>
  <c r="E8" i="1"/>
  <c r="C9" i="1"/>
  <c r="C8" i="1"/>
  <c r="E7" i="1"/>
  <c r="C7" i="1"/>
  <c r="B13" i="4"/>
  <c r="D12" i="4"/>
  <c r="K27" i="17" s="1"/>
  <c r="D11" i="4"/>
  <c r="K28" i="17" s="1"/>
  <c r="B14" i="7"/>
  <c r="B4" i="7"/>
  <c r="B5" i="7"/>
  <c r="B2" i="7"/>
  <c r="B6" i="7" l="1"/>
  <c r="C22" i="1"/>
  <c r="C21" i="1"/>
  <c r="C20" i="1"/>
  <c r="B38" i="4"/>
  <c r="J20" i="1"/>
  <c r="F9" i="1"/>
  <c r="B8" i="1"/>
  <c r="N15" i="17" l="1"/>
  <c r="B15" i="17" s="1"/>
  <c r="N14" i="17"/>
  <c r="B14" i="17" s="1"/>
  <c r="N13" i="17"/>
  <c r="B13" i="17" s="1"/>
  <c r="B9" i="7"/>
  <c r="B8" i="7" s="1"/>
  <c r="B11" i="7" s="1"/>
  <c r="M20" i="1"/>
  <c r="J25" i="1"/>
  <c r="M25" i="1" s="1"/>
  <c r="F8" i="1"/>
  <c r="B21" i="1"/>
  <c r="F21" i="1" s="1"/>
  <c r="F7" i="1"/>
  <c r="B20" i="1"/>
  <c r="F20" i="1" s="1"/>
  <c r="C12" i="1"/>
  <c r="B12" i="1"/>
  <c r="J27" i="17" l="1"/>
  <c r="M27" i="17" s="1"/>
  <c r="J32" i="17"/>
  <c r="M32" i="17" s="1"/>
  <c r="J31" i="17"/>
  <c r="M31" i="17" s="1"/>
  <c r="J26" i="17"/>
  <c r="M26" i="17" s="1"/>
  <c r="J28" i="17"/>
  <c r="M28" i="17" s="1"/>
  <c r="J33" i="17"/>
  <c r="M33" i="17" s="1"/>
  <c r="C16" i="11"/>
  <c r="F14" i="17"/>
  <c r="F15" i="17"/>
  <c r="F13" i="1"/>
  <c r="F14" i="1" s="1"/>
  <c r="C18" i="17"/>
  <c r="B18" i="17"/>
  <c r="F13" i="17"/>
  <c r="E28" i="1"/>
  <c r="F28" i="1" s="1"/>
  <c r="B12" i="7"/>
  <c r="B16" i="7" s="1"/>
  <c r="M35" i="17" l="1"/>
  <c r="M38" i="17" s="1"/>
  <c r="B17" i="7"/>
  <c r="B25" i="1" s="1"/>
  <c r="F25" i="1" s="1"/>
  <c r="G15" i="11"/>
  <c r="C15" i="11"/>
  <c r="D5" i="11"/>
  <c r="D7" i="11" s="1"/>
  <c r="G8" i="11" s="1"/>
  <c r="M21" i="1" s="1"/>
  <c r="M32" i="1" s="1"/>
  <c r="M35" i="1" s="1"/>
  <c r="F19" i="17"/>
  <c r="F20" i="17" s="1"/>
  <c r="F38" i="17" s="1"/>
  <c r="E16" i="11"/>
  <c r="M40" i="17" l="1"/>
  <c r="D16" i="11"/>
  <c r="F16" i="11" s="1"/>
  <c r="G16" i="11" s="1"/>
  <c r="C17" i="11" s="1"/>
  <c r="E17" i="11" s="1"/>
  <c r="F22" i="1"/>
  <c r="F32" i="1" s="1"/>
  <c r="F35" i="1" s="1"/>
  <c r="M38" i="1" s="1"/>
  <c r="B17" i="11" l="1"/>
  <c r="A17" i="11"/>
  <c r="D17" i="11"/>
  <c r="F17" i="11" s="1"/>
  <c r="G17" i="11" s="1"/>
  <c r="C18" i="11" s="1"/>
  <c r="E18" i="11" s="1"/>
  <c r="D18" i="11" s="1"/>
  <c r="F18" i="11" s="1"/>
  <c r="G18" i="11" s="1"/>
  <c r="A18" i="11" l="1"/>
  <c r="A19" i="11" s="1"/>
  <c r="B18" i="11"/>
  <c r="B19" i="11" s="1"/>
  <c r="C19" i="11"/>
  <c r="E19" i="11" s="1"/>
  <c r="D19" i="11" s="1"/>
  <c r="F19" i="11" s="1"/>
  <c r="G19" i="11" l="1"/>
  <c r="C20" i="11" l="1"/>
  <c r="E20" i="11" s="1"/>
  <c r="D20" i="11" s="1"/>
  <c r="F20" i="11" s="1"/>
  <c r="G20" i="11" s="1"/>
  <c r="A20" i="11"/>
  <c r="B20" i="11"/>
  <c r="A21" i="11" l="1"/>
  <c r="B21" i="11"/>
  <c r="C21" i="11"/>
  <c r="E21" i="11" s="1"/>
  <c r="D21" i="11" s="1"/>
  <c r="F21" i="11" s="1"/>
  <c r="G21" i="11" s="1"/>
  <c r="B22" i="11" l="1"/>
  <c r="C22" i="11"/>
  <c r="E22" i="11" s="1"/>
  <c r="D22" i="11" s="1"/>
  <c r="F22" i="11" s="1"/>
  <c r="G22" i="11" s="1"/>
  <c r="A22" i="11"/>
  <c r="C23" i="11" l="1"/>
  <c r="E23" i="11" s="1"/>
  <c r="B23" i="11"/>
  <c r="A23" i="11"/>
  <c r="D23" i="11" l="1"/>
  <c r="F23" i="11" l="1"/>
  <c r="G23" i="11" s="1"/>
  <c r="A24" i="11" l="1"/>
  <c r="B24" i="11"/>
  <c r="C24" i="11"/>
  <c r="E24" i="11" s="1"/>
  <c r="D24" i="11" l="1"/>
  <c r="F24" i="11" l="1"/>
  <c r="G24" i="11" s="1"/>
  <c r="A25" i="11" l="1"/>
  <c r="B25" i="11"/>
  <c r="C25" i="11"/>
  <c r="E25" i="11" l="1"/>
  <c r="D25" i="11" l="1"/>
  <c r="F25" i="11" l="1"/>
  <c r="G25" i="11" s="1"/>
  <c r="A26" i="11" l="1"/>
  <c r="B26" i="11"/>
  <c r="C26" i="11"/>
  <c r="E26" i="11" s="1"/>
  <c r="D26" i="11" l="1"/>
  <c r="F26" i="11" l="1"/>
  <c r="G26" i="11" s="1"/>
  <c r="C27" i="11" l="1"/>
  <c r="E27" i="11" s="1"/>
  <c r="D27" i="11" s="1"/>
  <c r="A27" i="11"/>
  <c r="B27" i="11"/>
  <c r="F27" i="11" l="1"/>
  <c r="G27" i="11" s="1"/>
  <c r="A28" i="11" l="1"/>
  <c r="B28" i="11"/>
  <c r="C28" i="11"/>
  <c r="E28" i="11" s="1"/>
  <c r="D28" i="11" l="1"/>
  <c r="F28" i="11" l="1"/>
  <c r="G28" i="11" s="1"/>
  <c r="B29" i="11" l="1"/>
  <c r="A29" i="11"/>
  <c r="C29" i="11"/>
  <c r="E29" i="11" l="1"/>
  <c r="D29" i="11" l="1"/>
  <c r="F29" i="11" l="1"/>
  <c r="G29" i="11" s="1"/>
  <c r="B30" i="11" l="1"/>
  <c r="C30" i="11"/>
  <c r="E30" i="11" s="1"/>
  <c r="A30" i="11"/>
  <c r="D30" i="11" l="1"/>
  <c r="F30" i="11" l="1"/>
  <c r="G30" i="11" s="1"/>
  <c r="C31" i="11" l="1"/>
  <c r="E31" i="11" s="1"/>
  <c r="A31" i="11"/>
  <c r="B31" i="11"/>
  <c r="D31" i="11" l="1"/>
  <c r="F31" i="11" l="1"/>
  <c r="G31" i="11" s="1"/>
  <c r="A32" i="11" l="1"/>
  <c r="C32" i="11"/>
  <c r="E32" i="11" s="1"/>
  <c r="B32" i="11"/>
  <c r="D32" i="11" l="1"/>
  <c r="F32" i="11" l="1"/>
  <c r="G32" i="11" s="1"/>
  <c r="A33" i="11" l="1"/>
  <c r="B33" i="11"/>
  <c r="C33" i="11"/>
  <c r="E33" i="11" s="1"/>
  <c r="D33" i="11" l="1"/>
  <c r="F33" i="11" l="1"/>
  <c r="G33" i="11" s="1"/>
  <c r="B34" i="11" l="1"/>
  <c r="C34" i="11"/>
  <c r="E34" i="11" s="1"/>
  <c r="A34" i="11"/>
  <c r="D34" i="11" l="1"/>
  <c r="F34" i="11" l="1"/>
  <c r="G34" i="11" s="1"/>
  <c r="A35" i="11" l="1"/>
  <c r="B35" i="11"/>
  <c r="C35" i="11"/>
  <c r="E35" i="11" s="1"/>
  <c r="D35" i="11" l="1"/>
  <c r="F35" i="11" l="1"/>
  <c r="G35" i="11" s="1"/>
  <c r="A36" i="11" s="1"/>
  <c r="C36" i="11" l="1"/>
  <c r="E36" i="11" s="1"/>
  <c r="B36" i="11"/>
  <c r="D36" i="11" l="1"/>
  <c r="F36" i="11" l="1"/>
  <c r="G36" i="11" s="1"/>
  <c r="A37" i="11" l="1"/>
  <c r="B37" i="11"/>
  <c r="C37" i="11"/>
  <c r="E37" i="11" l="1"/>
  <c r="D37" i="11" l="1"/>
  <c r="F37" i="11" l="1"/>
  <c r="G37" i="11" s="1"/>
  <c r="A38" i="11" l="1"/>
  <c r="B38" i="11"/>
  <c r="C38" i="11"/>
  <c r="E38" i="11" s="1"/>
  <c r="D38" i="11" l="1"/>
  <c r="F38" i="11" l="1"/>
  <c r="G38" i="11" s="1"/>
  <c r="C39" i="11" l="1"/>
  <c r="E39" i="11" s="1"/>
  <c r="D39" i="11" s="1"/>
  <c r="A39" i="11"/>
  <c r="B39" i="11"/>
  <c r="F39" i="11" l="1"/>
  <c r="G39" i="11" s="1"/>
  <c r="A40" i="11" l="1"/>
  <c r="C40" i="11"/>
  <c r="E40" i="11" s="1"/>
  <c r="B40" i="11"/>
  <c r="D40" i="11" l="1"/>
  <c r="F40" i="11" l="1"/>
  <c r="G40" i="11" s="1"/>
  <c r="B41" i="11" l="1"/>
  <c r="C41" i="11"/>
  <c r="E41" i="11" s="1"/>
  <c r="D41" i="11" s="1"/>
  <c r="A41" i="11"/>
  <c r="F41" i="11" l="1"/>
  <c r="G41" i="11" s="1"/>
  <c r="B42" i="11" l="1"/>
  <c r="C42" i="11"/>
  <c r="E42" i="11" s="1"/>
  <c r="A42" i="11"/>
  <c r="D42" i="11" l="1"/>
  <c r="F42" i="11" l="1"/>
  <c r="G42" i="11" s="1"/>
  <c r="B43" i="11" l="1"/>
  <c r="A43" i="11"/>
  <c r="C43" i="11"/>
  <c r="E43" i="11" s="1"/>
  <c r="D43" i="11" l="1"/>
  <c r="F43" i="11" l="1"/>
  <c r="G43" i="11" s="1"/>
  <c r="C44" i="11" l="1"/>
  <c r="E44" i="11" s="1"/>
  <c r="A44" i="11"/>
  <c r="B44" i="11"/>
  <c r="D44" i="11" l="1"/>
  <c r="F44" i="11" l="1"/>
  <c r="G44" i="11" s="1"/>
  <c r="B45" i="11" l="1"/>
  <c r="A45" i="11"/>
  <c r="C45" i="11"/>
  <c r="E45" i="11" s="1"/>
  <c r="D45" i="11" l="1"/>
  <c r="F45" i="11" l="1"/>
  <c r="G45" i="11" s="1"/>
  <c r="A46" i="11" l="1"/>
  <c r="B46" i="11"/>
  <c r="C46" i="11"/>
  <c r="E46" i="11" s="1"/>
  <c r="D46" i="11" l="1"/>
  <c r="F46" i="11" l="1"/>
  <c r="G46" i="11" s="1"/>
  <c r="C47" i="11" l="1"/>
  <c r="E47" i="11" s="1"/>
  <c r="D47" i="11" s="1"/>
  <c r="B47" i="11"/>
  <c r="A47" i="11"/>
  <c r="F47" i="11" l="1"/>
  <c r="G47" i="11" s="1"/>
  <c r="B48" i="11" s="1"/>
  <c r="A48" i="11" l="1"/>
  <c r="C48" i="11"/>
  <c r="E48" i="11" s="1"/>
  <c r="D48" i="11" l="1"/>
  <c r="F48" i="11" s="1"/>
  <c r="G48" i="11" s="1"/>
  <c r="A49" i="11" l="1"/>
  <c r="B49" i="11"/>
  <c r="C49" i="11"/>
  <c r="E49" i="11" s="1"/>
  <c r="D49" i="11" l="1"/>
  <c r="F49" i="11" l="1"/>
  <c r="G49" i="11" s="1"/>
  <c r="C50" i="11" l="1"/>
  <c r="E50" i="11" s="1"/>
  <c r="D50" i="11" s="1"/>
  <c r="A50" i="11"/>
  <c r="B50" i="11"/>
  <c r="F50" i="11" l="1"/>
  <c r="G50" i="11" s="1"/>
  <c r="C51" i="11" l="1"/>
  <c r="E51" i="11" s="1"/>
  <c r="B51" i="11"/>
  <c r="A51" i="11"/>
  <c r="D51" i="11" l="1"/>
  <c r="F51" i="11" l="1"/>
  <c r="G51" i="11" s="1"/>
  <c r="A52" i="11" l="1"/>
  <c r="B52" i="11"/>
  <c r="C52" i="11"/>
  <c r="E52" i="11" l="1"/>
  <c r="D52" i="11" l="1"/>
  <c r="F52" i="11" l="1"/>
  <c r="G52" i="11" s="1"/>
  <c r="A53" i="11" l="1"/>
  <c r="B53" i="11"/>
  <c r="C53" i="11"/>
  <c r="E53" i="11" l="1"/>
  <c r="D53" i="11" l="1"/>
  <c r="F53" i="11" l="1"/>
  <c r="G53" i="11" s="1"/>
  <c r="C54" i="11" l="1"/>
  <c r="E54" i="11" s="1"/>
  <c r="A54" i="11"/>
  <c r="B54" i="11"/>
  <c r="D54" i="11" l="1"/>
  <c r="F54" i="11" l="1"/>
  <c r="G54" i="11" s="1"/>
  <c r="C55" i="11" l="1"/>
  <c r="E55" i="11" s="1"/>
  <c r="B55" i="11"/>
  <c r="A55" i="11"/>
  <c r="D55" i="11" l="1"/>
  <c r="F55" i="11" l="1"/>
  <c r="G55" i="11" s="1"/>
  <c r="A56" i="11" l="1"/>
  <c r="B56" i="11"/>
  <c r="C56" i="11"/>
  <c r="E56" i="11" s="1"/>
  <c r="D56" i="11" l="1"/>
  <c r="F56" i="11" l="1"/>
  <c r="G56" i="11" s="1"/>
  <c r="A57" i="11" l="1"/>
  <c r="B57" i="11"/>
  <c r="C57" i="11"/>
  <c r="E57" i="11" l="1"/>
  <c r="D57" i="11" l="1"/>
  <c r="F57" i="11" l="1"/>
  <c r="G57" i="11" s="1"/>
  <c r="A58" i="11" l="1"/>
  <c r="B58" i="11"/>
  <c r="C58" i="11"/>
  <c r="E58" i="11" s="1"/>
  <c r="D58" i="11" l="1"/>
  <c r="F58" i="11" l="1"/>
  <c r="G58" i="11" s="1"/>
  <c r="A59" i="11" l="1"/>
  <c r="B59" i="11"/>
  <c r="C59" i="11"/>
  <c r="E59" i="11" s="1"/>
  <c r="D59" i="11" l="1"/>
  <c r="F59" i="11" l="1"/>
  <c r="G59" i="11" s="1"/>
  <c r="A60" i="11" l="1"/>
  <c r="C60" i="11"/>
  <c r="E60" i="11" s="1"/>
  <c r="B60" i="11"/>
  <c r="D60" i="11" l="1"/>
  <c r="F60" i="11" l="1"/>
  <c r="G60" i="11" s="1"/>
  <c r="C61" i="11" l="1"/>
  <c r="E61" i="11" s="1"/>
  <c r="D61" i="11" s="1"/>
  <c r="B61" i="11"/>
  <c r="A61" i="11"/>
  <c r="F61" i="11" l="1"/>
  <c r="G61" i="11" s="1"/>
  <c r="C62" i="11" l="1"/>
  <c r="E62" i="11" s="1"/>
  <c r="A62" i="11"/>
  <c r="B62" i="11"/>
  <c r="D62" i="11" l="1"/>
  <c r="F62" i="11" l="1"/>
  <c r="G62" i="11" s="1"/>
  <c r="C63" i="11" s="1"/>
  <c r="B63" i="11" l="1"/>
  <c r="E63" i="11"/>
  <c r="D63" i="11" s="1"/>
  <c r="A63" i="11"/>
  <c r="F63" i="11" l="1"/>
  <c r="G63" i="11" s="1"/>
  <c r="A64" i="11" l="1"/>
  <c r="C64" i="11"/>
  <c r="E64" i="11" s="1"/>
  <c r="B64" i="11"/>
  <c r="D64" i="11" l="1"/>
  <c r="F64" i="11" l="1"/>
  <c r="G64" i="11" s="1"/>
  <c r="C65" i="11" l="1"/>
  <c r="E65" i="11" s="1"/>
  <c r="B65" i="11"/>
  <c r="A65" i="11"/>
  <c r="D65" i="11" l="1"/>
  <c r="F65" i="11" l="1"/>
  <c r="G65" i="11" s="1"/>
  <c r="B66" i="11" l="1"/>
  <c r="A66" i="11"/>
  <c r="C66" i="11"/>
  <c r="E66" i="11" s="1"/>
  <c r="D66" i="11" s="1"/>
  <c r="F66" i="11" l="1"/>
  <c r="G66" i="11" s="1"/>
  <c r="C67" i="11" l="1"/>
  <c r="E67" i="11" s="1"/>
  <c r="A67" i="11"/>
  <c r="B67" i="11"/>
  <c r="D67" i="11" l="1"/>
  <c r="F67" i="11" l="1"/>
  <c r="G67" i="11" s="1"/>
  <c r="A68" i="11" l="1"/>
  <c r="B68" i="11"/>
  <c r="C68" i="11"/>
  <c r="E68" i="11" s="1"/>
  <c r="D68" i="11" l="1"/>
  <c r="F68" i="11" l="1"/>
  <c r="G68" i="11" s="1"/>
  <c r="A69" i="11" l="1"/>
  <c r="C69" i="11"/>
  <c r="E69" i="11" s="1"/>
  <c r="B69" i="11"/>
  <c r="D69" i="11" l="1"/>
  <c r="F69" i="11" l="1"/>
  <c r="G69" i="11" s="1"/>
  <c r="A70" i="11" l="1"/>
  <c r="C70" i="11"/>
  <c r="E70" i="11" s="1"/>
  <c r="B70" i="11"/>
  <c r="D70" i="11" l="1"/>
  <c r="F70" i="11" l="1"/>
  <c r="G70" i="11" s="1"/>
  <c r="C71" i="11" l="1"/>
  <c r="A71" i="11"/>
  <c r="B71" i="11"/>
  <c r="E71" i="11"/>
  <c r="D71" i="11" l="1"/>
  <c r="F71" i="11" l="1"/>
  <c r="G71" i="11" s="1"/>
  <c r="C72" i="11" l="1"/>
  <c r="E72" i="11" s="1"/>
  <c r="B72" i="11"/>
  <c r="A72" i="11"/>
  <c r="D72" i="11" l="1"/>
  <c r="F72" i="11" l="1"/>
  <c r="G72" i="11" s="1"/>
  <c r="A73" i="11" l="1"/>
  <c r="C73" i="11"/>
  <c r="E73" i="11" s="1"/>
  <c r="B73" i="11"/>
  <c r="D73" i="11" l="1"/>
  <c r="F73" i="11" l="1"/>
  <c r="G73" i="11" s="1"/>
  <c r="C74" i="11" l="1"/>
  <c r="E74" i="11" s="1"/>
  <c r="B74" i="11"/>
  <c r="A74" i="11"/>
  <c r="D74" i="11" l="1"/>
  <c r="F74" i="11" l="1"/>
  <c r="G74" i="11" s="1"/>
  <c r="C75" i="11" l="1"/>
  <c r="E75" i="11" s="1"/>
  <c r="B75" i="11"/>
  <c r="A75" i="11"/>
  <c r="D75" i="11" l="1"/>
  <c r="F75" i="11" l="1"/>
  <c r="G75" i="11" s="1"/>
  <c r="B76" i="11" l="1"/>
  <c r="A76" i="11"/>
  <c r="C76" i="11"/>
  <c r="E76" i="11" s="1"/>
  <c r="D76" i="11" l="1"/>
  <c r="F76" i="11" l="1"/>
  <c r="G76" i="11" s="1"/>
  <c r="A77" i="11" l="1"/>
  <c r="B77" i="11"/>
  <c r="C77" i="11"/>
  <c r="E77" i="11" s="1"/>
  <c r="D77" i="11" l="1"/>
  <c r="F77" i="11" l="1"/>
  <c r="G77" i="11" s="1"/>
  <c r="C78" i="11" l="1"/>
  <c r="E78" i="11" s="1"/>
  <c r="A78" i="11"/>
  <c r="B78" i="11"/>
  <c r="D78" i="11" l="1"/>
  <c r="F78" i="11" l="1"/>
  <c r="G78" i="11" s="1"/>
  <c r="C79" i="11" s="1"/>
  <c r="E79" i="11" s="1"/>
  <c r="A79" i="11" l="1"/>
  <c r="B79" i="11"/>
  <c r="D79" i="11"/>
  <c r="F79" i="11" l="1"/>
  <c r="G79" i="11" s="1"/>
  <c r="B80" i="11" l="1"/>
  <c r="A80" i="11"/>
  <c r="C80" i="11"/>
  <c r="E80" i="11" s="1"/>
  <c r="D80" i="11" l="1"/>
  <c r="F80" i="11" l="1"/>
  <c r="G80" i="11" s="1"/>
  <c r="C81" i="11" s="1"/>
  <c r="E81" i="11" s="1"/>
  <c r="B81" i="11" l="1"/>
  <c r="A81" i="11"/>
  <c r="D81" i="11"/>
  <c r="F81" i="11" l="1"/>
  <c r="G81" i="11" s="1"/>
  <c r="C82" i="11" l="1"/>
  <c r="E82" i="11" s="1"/>
  <c r="D82" i="11" s="1"/>
  <c r="A82" i="11"/>
  <c r="B82" i="11"/>
  <c r="F82" i="11" l="1"/>
  <c r="G82" i="11" s="1"/>
  <c r="B83" i="11" l="1"/>
  <c r="C83" i="11"/>
  <c r="E83" i="11" s="1"/>
  <c r="A83" i="11"/>
  <c r="D83" i="11" l="1"/>
  <c r="F83" i="11" l="1"/>
  <c r="G83" i="11" s="1"/>
  <c r="C84" i="11" l="1"/>
  <c r="E84" i="11" s="1"/>
  <c r="A84" i="11"/>
  <c r="B84" i="11"/>
  <c r="D84" i="11" l="1"/>
  <c r="F84" i="11" l="1"/>
  <c r="G84" i="11" s="1"/>
  <c r="B85" i="11" l="1"/>
  <c r="C85" i="11"/>
  <c r="E85" i="11" s="1"/>
  <c r="A85" i="11"/>
  <c r="D85" i="11" l="1"/>
  <c r="F85" i="11" l="1"/>
  <c r="G85" i="11" s="1"/>
  <c r="A86" i="11" l="1"/>
  <c r="B86" i="11"/>
  <c r="C86" i="11"/>
  <c r="E86" i="11" s="1"/>
  <c r="D86" i="11" l="1"/>
  <c r="F86" i="11" l="1"/>
  <c r="G86" i="11" s="1"/>
  <c r="C87" i="11" l="1"/>
  <c r="E87" i="11" s="1"/>
  <c r="D87" i="11" s="1"/>
  <c r="A87" i="11"/>
  <c r="B87" i="11"/>
  <c r="F87" i="11" l="1"/>
  <c r="G87" i="11" s="1"/>
  <c r="A88" i="11" l="1"/>
  <c r="C88" i="11"/>
  <c r="E88" i="11" s="1"/>
  <c r="B88" i="11"/>
  <c r="D88" i="11" l="1"/>
  <c r="F88" i="11" l="1"/>
  <c r="G88" i="11" s="1"/>
  <c r="A89" i="11" l="1"/>
  <c r="C89" i="11"/>
  <c r="E89" i="11" s="1"/>
  <c r="B89" i="11"/>
  <c r="D89" i="11" l="1"/>
  <c r="F89" i="11" l="1"/>
  <c r="G89" i="11" s="1"/>
  <c r="B90" i="11" l="1"/>
  <c r="A90" i="11"/>
  <c r="C90" i="11"/>
  <c r="E90" i="11" s="1"/>
  <c r="D90" i="11" l="1"/>
  <c r="F90" i="11" l="1"/>
  <c r="G90" i="11" s="1"/>
  <c r="C91" i="11" l="1"/>
  <c r="E91" i="11" s="1"/>
  <c r="D91" i="11" s="1"/>
  <c r="A91" i="11"/>
  <c r="B91" i="11"/>
  <c r="F91" i="11" l="1"/>
  <c r="G91" i="11" s="1"/>
  <c r="A92" i="11" l="1"/>
  <c r="B92" i="11"/>
  <c r="C92" i="11"/>
  <c r="E92" i="11" s="1"/>
  <c r="D92" i="11" l="1"/>
  <c r="F92" i="11" l="1"/>
  <c r="G92" i="11" s="1"/>
  <c r="B93" i="11" l="1"/>
  <c r="C93" i="11"/>
  <c r="E93" i="11" s="1"/>
  <c r="A93" i="11"/>
  <c r="D93" i="11" l="1"/>
  <c r="F93" i="11" l="1"/>
  <c r="G93" i="11" s="1"/>
  <c r="B94" i="11" l="1"/>
  <c r="A94" i="11"/>
  <c r="C94" i="11"/>
  <c r="E94" i="11" s="1"/>
  <c r="D94" i="11" l="1"/>
  <c r="F94" i="11" l="1"/>
  <c r="G94" i="11" s="1"/>
  <c r="A95" i="11" l="1"/>
  <c r="B95" i="11"/>
  <c r="C95" i="11"/>
  <c r="E95" i="11" s="1"/>
  <c r="D95" i="11" l="1"/>
  <c r="F95" i="11" l="1"/>
  <c r="G95" i="11" s="1"/>
  <c r="A96" i="11" l="1"/>
  <c r="B96" i="11"/>
  <c r="C96" i="11"/>
  <c r="E96" i="11" s="1"/>
  <c r="D96" i="11" s="1"/>
  <c r="F96" i="11" l="1"/>
  <c r="G96" i="11" s="1"/>
  <c r="C97" i="11" l="1"/>
  <c r="E97" i="11" s="1"/>
  <c r="B97" i="11"/>
  <c r="A97" i="11"/>
  <c r="D97" i="11" l="1"/>
  <c r="F97" i="11" l="1"/>
  <c r="G97" i="11" s="1"/>
  <c r="B98" i="11" l="1"/>
  <c r="C98" i="11"/>
  <c r="E98" i="11" s="1"/>
  <c r="A98" i="11"/>
  <c r="D98" i="11" l="1"/>
  <c r="F98" i="11" l="1"/>
  <c r="G98" i="11" s="1"/>
  <c r="A99" i="11" l="1"/>
  <c r="C99" i="11"/>
  <c r="E99" i="11" s="1"/>
  <c r="B99" i="11"/>
  <c r="D99" i="11" l="1"/>
  <c r="F99" i="11" l="1"/>
  <c r="G99" i="11" s="1"/>
  <c r="A100" i="11" l="1"/>
  <c r="B100" i="11"/>
  <c r="C100" i="11"/>
  <c r="E100" i="11" s="1"/>
  <c r="D100" i="11" l="1"/>
  <c r="F100" i="11" l="1"/>
  <c r="G100" i="11" s="1"/>
  <c r="A101" i="11" l="1"/>
  <c r="B101" i="11"/>
  <c r="C101" i="11"/>
  <c r="E101" i="11" l="1"/>
  <c r="D101" i="11" l="1"/>
  <c r="F101" i="11" l="1"/>
  <c r="G101" i="11" s="1"/>
  <c r="B102" i="11" l="1"/>
  <c r="C102" i="11"/>
  <c r="E102" i="11" s="1"/>
  <c r="A102" i="11"/>
  <c r="D102" i="11" l="1"/>
  <c r="F102" i="11" l="1"/>
  <c r="G102" i="11" s="1"/>
  <c r="A103" i="11" l="1"/>
  <c r="B103" i="11"/>
  <c r="C103" i="11"/>
  <c r="E103" i="11" s="1"/>
  <c r="D103" i="11" l="1"/>
  <c r="F103" i="11" l="1"/>
  <c r="G103" i="11" s="1"/>
  <c r="A104" i="11" l="1"/>
  <c r="C104" i="11"/>
  <c r="E104" i="11" s="1"/>
  <c r="B104" i="11"/>
  <c r="D104" i="11" l="1"/>
  <c r="F104" i="11" l="1"/>
  <c r="G104" i="11" s="1"/>
  <c r="A105" i="11" l="1"/>
  <c r="B105" i="11"/>
  <c r="C105" i="11"/>
  <c r="E105" i="11" l="1"/>
  <c r="D105" i="11" l="1"/>
  <c r="F105" i="11" l="1"/>
  <c r="G105" i="11" s="1"/>
  <c r="B106" i="11" l="1"/>
  <c r="C106" i="11"/>
  <c r="A106" i="11"/>
  <c r="E106" i="11" l="1"/>
  <c r="D106" i="11" l="1"/>
  <c r="F106" i="11" l="1"/>
  <c r="G106" i="11" s="1"/>
  <c r="B107" i="11" l="1"/>
  <c r="C107" i="11"/>
  <c r="E107" i="11" s="1"/>
  <c r="A107" i="11"/>
  <c r="D107" i="11" l="1"/>
  <c r="F107" i="11" l="1"/>
  <c r="G107" i="11" s="1"/>
  <c r="B108" i="11" l="1"/>
  <c r="C108" i="11"/>
  <c r="E108" i="11" s="1"/>
  <c r="A108" i="11"/>
  <c r="D108" i="11" l="1"/>
  <c r="F108" i="11" l="1"/>
  <c r="G108" i="11" s="1"/>
  <c r="A109" i="11" l="1"/>
  <c r="B109" i="11"/>
  <c r="C109" i="11"/>
  <c r="E109" i="11" s="1"/>
  <c r="D109" i="11" l="1"/>
  <c r="F109" i="11" l="1"/>
  <c r="G109" i="11" s="1"/>
  <c r="B110" i="11" l="1"/>
  <c r="A110" i="11"/>
  <c r="C110" i="11"/>
  <c r="E110" i="11" s="1"/>
  <c r="D110" i="11" l="1"/>
  <c r="F110" i="11" l="1"/>
  <c r="G110" i="11" s="1"/>
  <c r="C111" i="11" l="1"/>
  <c r="E111" i="11" s="1"/>
  <c r="A111" i="11"/>
  <c r="B111" i="11"/>
  <c r="D111" i="11" l="1"/>
  <c r="F111" i="11" l="1"/>
  <c r="G111" i="11" s="1"/>
  <c r="A112" i="11" l="1"/>
  <c r="C112" i="11"/>
  <c r="B112" i="11"/>
  <c r="E112" i="11" l="1"/>
  <c r="D112" i="11" l="1"/>
  <c r="F112" i="11" l="1"/>
  <c r="G112" i="11" s="1"/>
  <c r="A113" i="11" l="1"/>
  <c r="C113" i="11"/>
  <c r="E113" i="11" s="1"/>
  <c r="B113" i="11"/>
  <c r="D113" i="11" l="1"/>
  <c r="F113" i="11" l="1"/>
  <c r="G113" i="11" s="1"/>
  <c r="B114" i="11" l="1"/>
  <c r="A114" i="11"/>
  <c r="C114" i="11"/>
  <c r="E114" i="11" s="1"/>
  <c r="D114" i="11" l="1"/>
  <c r="F114" i="11" l="1"/>
  <c r="G114" i="11" s="1"/>
  <c r="C115" i="11" l="1"/>
  <c r="E115" i="11" s="1"/>
  <c r="A115" i="11"/>
  <c r="B115" i="11"/>
  <c r="D115" i="11" l="1"/>
  <c r="F115" i="11" l="1"/>
  <c r="G115" i="11" s="1"/>
  <c r="C116" i="11" l="1"/>
  <c r="E116" i="11" s="1"/>
  <c r="A116" i="11"/>
  <c r="B116" i="11"/>
  <c r="D116" i="11" l="1"/>
  <c r="F116" i="11" s="1"/>
  <c r="G116" i="11" s="1"/>
  <c r="B117" i="11" l="1"/>
  <c r="C117" i="11"/>
  <c r="E117" i="11" s="1"/>
  <c r="A117" i="11"/>
  <c r="D117" i="11" l="1"/>
  <c r="F117" i="11" l="1"/>
  <c r="G117" i="11" s="1"/>
  <c r="B118" i="11" s="1"/>
  <c r="A118" i="11" l="1"/>
  <c r="C118" i="11"/>
  <c r="E118" i="11" s="1"/>
  <c r="D118" i="11" l="1"/>
  <c r="F118" i="11" s="1"/>
  <c r="G118" i="11" s="1"/>
  <c r="A119" i="11" l="1"/>
  <c r="C119" i="11"/>
  <c r="E119" i="11" s="1"/>
  <c r="B119" i="11"/>
  <c r="D119" i="11" l="1"/>
  <c r="F119" i="11" l="1"/>
  <c r="G119" i="11" s="1"/>
  <c r="C120" i="11" l="1"/>
  <c r="E120" i="11" s="1"/>
  <c r="D120" i="11" s="1"/>
  <c r="A120" i="11"/>
  <c r="B120" i="11"/>
  <c r="F120" i="11" l="1"/>
  <c r="G120" i="11" s="1"/>
  <c r="B121" i="11" l="1"/>
  <c r="C121" i="11"/>
  <c r="E121" i="11" s="1"/>
  <c r="A121" i="11"/>
  <c r="D121" i="11" l="1"/>
  <c r="F121" i="11" l="1"/>
  <c r="G121" i="11" s="1"/>
  <c r="B122" i="11" l="1"/>
  <c r="C122" i="11"/>
  <c r="A122" i="11"/>
  <c r="E122" i="11" l="1"/>
  <c r="D122" i="11" l="1"/>
  <c r="F122" i="11" l="1"/>
  <c r="G122" i="11" s="1"/>
  <c r="A123" i="11" l="1"/>
  <c r="B123" i="11"/>
  <c r="C123" i="11"/>
  <c r="E123" i="11" l="1"/>
  <c r="D123" i="11" l="1"/>
  <c r="F123" i="11" l="1"/>
  <c r="G123" i="11" s="1"/>
  <c r="A124" i="11" l="1"/>
  <c r="B124" i="11"/>
  <c r="C124" i="11"/>
  <c r="E124" i="11" l="1"/>
  <c r="D124" i="11" l="1"/>
  <c r="F124" i="11" l="1"/>
  <c r="G124" i="11" s="1"/>
  <c r="A125" i="11" l="1"/>
  <c r="B125" i="11"/>
  <c r="C125" i="11"/>
  <c r="E125" i="11" l="1"/>
  <c r="D125" i="11" l="1"/>
  <c r="F125" i="11" l="1"/>
  <c r="G125" i="11" s="1"/>
  <c r="B126" i="11" l="1"/>
  <c r="C126" i="11"/>
  <c r="E126" i="11" s="1"/>
  <c r="A126" i="11"/>
  <c r="D126" i="11" l="1"/>
  <c r="F126" i="11" l="1"/>
  <c r="G126" i="11" s="1"/>
  <c r="A127" i="11" l="1"/>
  <c r="B127" i="11"/>
  <c r="C127" i="11"/>
  <c r="E127" i="11" s="1"/>
  <c r="D127" i="11" s="1"/>
  <c r="F127" i="11" l="1"/>
  <c r="G127" i="11" s="1"/>
  <c r="B128" i="11" l="1"/>
  <c r="C128" i="11"/>
  <c r="E128" i="11" s="1"/>
  <c r="A128" i="11"/>
  <c r="D128" i="11" l="1"/>
  <c r="F128" i="11" l="1"/>
  <c r="G128" i="11" s="1"/>
  <c r="A129" i="11" l="1"/>
  <c r="B129" i="11"/>
  <c r="C129" i="11"/>
  <c r="E129" i="11" l="1"/>
  <c r="D129" i="11" l="1"/>
  <c r="F129" i="11" l="1"/>
  <c r="G129" i="11" s="1"/>
  <c r="B130" i="11" l="1"/>
  <c r="C130" i="11"/>
  <c r="E130" i="11" s="1"/>
  <c r="A130" i="11"/>
  <c r="D130" i="11" l="1"/>
  <c r="F130" i="11" l="1"/>
  <c r="G130" i="11" s="1"/>
  <c r="C131" i="11" l="1"/>
  <c r="E131" i="11" s="1"/>
  <c r="A131" i="11"/>
  <c r="B131" i="11"/>
  <c r="D131" i="11" l="1"/>
  <c r="F131" i="11" l="1"/>
  <c r="G131" i="11" s="1"/>
  <c r="A132" i="11" l="1"/>
  <c r="C132" i="11"/>
  <c r="E132" i="11" s="1"/>
  <c r="B132" i="11"/>
  <c r="D132" i="11" l="1"/>
  <c r="F132" i="11" l="1"/>
  <c r="G132" i="11" s="1"/>
  <c r="A133" i="11" l="1"/>
  <c r="C133" i="11"/>
  <c r="E133" i="11" s="1"/>
  <c r="B133" i="11"/>
  <c r="D133" i="11" l="1"/>
  <c r="F133" i="11" l="1"/>
  <c r="G133" i="11" s="1"/>
  <c r="B134" i="11" l="1"/>
  <c r="C134" i="11"/>
  <c r="E134" i="11" s="1"/>
  <c r="A134" i="11"/>
  <c r="D134" i="11" l="1"/>
  <c r="F134" i="11" l="1"/>
  <c r="G134" i="11" s="1"/>
  <c r="A135" i="11" l="1"/>
  <c r="B135" i="11"/>
  <c r="C135" i="11"/>
  <c r="E135" i="11" s="1"/>
  <c r="D135" i="11" l="1"/>
  <c r="F135" i="11" l="1"/>
  <c r="G135" i="11" s="1"/>
  <c r="B136" i="11" l="1"/>
  <c r="C136" i="11"/>
  <c r="E136" i="11" s="1"/>
  <c r="A136" i="11"/>
  <c r="D136" i="11" l="1"/>
  <c r="F136" i="11" l="1"/>
  <c r="G136" i="11" s="1"/>
  <c r="A137" i="11" l="1"/>
  <c r="B137" i="11"/>
  <c r="C137" i="11"/>
  <c r="E137" i="11" s="1"/>
  <c r="D137" i="11" l="1"/>
  <c r="F137" i="11" l="1"/>
  <c r="G137" i="11" s="1"/>
  <c r="B138" i="11" l="1"/>
  <c r="C138" i="11"/>
  <c r="E138" i="11" s="1"/>
  <c r="A138" i="11"/>
  <c r="D138" i="11" l="1"/>
  <c r="F138" i="11" l="1"/>
  <c r="G138" i="11" s="1"/>
  <c r="A139" i="11" l="1"/>
  <c r="B139" i="11"/>
  <c r="C139" i="11"/>
  <c r="E139" i="11" l="1"/>
  <c r="D139" i="11" l="1"/>
  <c r="F139" i="11" l="1"/>
  <c r="G139" i="11" s="1"/>
  <c r="B140" i="11" l="1"/>
  <c r="C140" i="11"/>
  <c r="A140" i="11"/>
  <c r="E140" i="11" l="1"/>
  <c r="D140" i="11" l="1"/>
  <c r="F140" i="11" l="1"/>
  <c r="G140" i="11" s="1"/>
  <c r="A141" i="11" l="1"/>
  <c r="B141" i="11"/>
  <c r="C141" i="11"/>
  <c r="E141" i="11" l="1"/>
  <c r="D141" i="11" l="1"/>
  <c r="F141" i="11" l="1"/>
  <c r="G141" i="11" s="1"/>
  <c r="B142" i="11" l="1"/>
  <c r="C142" i="11"/>
  <c r="A142" i="11"/>
  <c r="E142" i="11" l="1"/>
  <c r="D142" i="11" l="1"/>
  <c r="F142" i="11" l="1"/>
  <c r="G142" i="11" s="1"/>
  <c r="A143" i="11" l="1"/>
  <c r="B143" i="11"/>
  <c r="C143" i="11"/>
  <c r="E143" i="11" l="1"/>
  <c r="D143" i="11" l="1"/>
  <c r="F143" i="11" l="1"/>
  <c r="G143" i="11" s="1"/>
  <c r="B144" i="11" l="1"/>
  <c r="C144" i="11"/>
  <c r="A144" i="11"/>
  <c r="E144" i="11" l="1"/>
  <c r="D144" i="11" l="1"/>
  <c r="F144" i="11" l="1"/>
  <c r="G144" i="11" s="1"/>
  <c r="A145" i="11" l="1"/>
  <c r="B145" i="11"/>
  <c r="C145" i="11"/>
  <c r="E145" i="11" l="1"/>
  <c r="D145" i="11" l="1"/>
  <c r="F145" i="11" l="1"/>
  <c r="G145" i="11" s="1"/>
  <c r="F146" i="11" l="1"/>
  <c r="B146" i="11"/>
  <c r="C146" i="11"/>
  <c r="A146" i="11"/>
  <c r="E146" i="11"/>
  <c r="D146" i="11" s="1"/>
  <c r="G146"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Landry Stéphanie (DRBSL) (Rimouski)</author>
  </authors>
  <commentList>
    <comment ref="A19" authorId="0" shapeId="0" xr:uid="{20131EDC-43E3-4EBE-8BBE-95F582432DDD}">
      <text>
        <r>
          <rPr>
            <b/>
            <sz val="9"/>
            <color indexed="81"/>
            <rFont val="Tahoma"/>
            <family val="2"/>
          </rPr>
          <t>6 $/agneau + 1,75 $/agneau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Therrien Marie-Ange (DRE) (Sherbrooke)</author>
  </authors>
  <commentList>
    <comment ref="B17" authorId="0" shapeId="0" xr:uid="{83297E06-5A5A-4A5F-BFDC-BE88E69E7032}">
      <text>
        <r>
          <rPr>
            <sz val="11"/>
            <color theme="1"/>
            <rFont val="Calibri"/>
            <family val="2"/>
            <scheme val="minor"/>
          </rPr>
          <t xml:space="preserve">Il est recommandé de prévoir un bélier supplémentaire pour s'assurer d'avoir un bélier actif au moment souhaité, tout en respectant le besoin de repos. 
</t>
        </r>
      </text>
    </comment>
  </commentList>
</comments>
</file>

<file path=xl/sharedStrings.xml><?xml version="1.0" encoding="utf-8"?>
<sst xmlns="http://schemas.openxmlformats.org/spreadsheetml/2006/main" count="230" uniqueCount="160">
  <si>
    <t>Avertissement</t>
  </si>
  <si>
    <t>Guide d’utilisation</t>
  </si>
  <si>
    <t>Résumé des prérequis pour produire des agnelles de remplacement</t>
  </si>
  <si>
    <t>Nombre de brebis</t>
  </si>
  <si>
    <t>brebis</t>
  </si>
  <si>
    <t>Taux de remplacement</t>
  </si>
  <si>
    <r>
      <t>% en lour</t>
    </r>
    <r>
      <rPr>
        <sz val="11"/>
        <rFont val="Aptos"/>
        <family val="2"/>
      </rPr>
      <t>ds</t>
    </r>
  </si>
  <si>
    <t>% en légers</t>
  </si>
  <si>
    <t>% en lait</t>
  </si>
  <si>
    <t>% total</t>
  </si>
  <si>
    <t>Poids de l’agneau à la naissance (moyenne)</t>
  </si>
  <si>
    <t>kg</t>
  </si>
  <si>
    <t>Poids vif de vente des agneaux de lait</t>
  </si>
  <si>
    <t>lb (vif)</t>
  </si>
  <si>
    <t>kg (vif)</t>
  </si>
  <si>
    <t>Poids vif de vente des agneaux légers</t>
  </si>
  <si>
    <t>Poids carcasse de vente des agneaux lourds</t>
  </si>
  <si>
    <t>lb (carcasse)</t>
  </si>
  <si>
    <t>kg (carcasse)</t>
  </si>
  <si>
    <t>Gain moyen quotidien (GMQ) [moyenne]</t>
  </si>
  <si>
    <t>g/jour</t>
  </si>
  <si>
    <t>Prix de vente des agneaux de lait</t>
  </si>
  <si>
    <t>/lb (vif)</t>
  </si>
  <si>
    <t>Prix de vente des agneaux légers</t>
  </si>
  <si>
    <t>Prix de vente des agneaux lourds</t>
  </si>
  <si>
    <t>/kg (carcasse)</t>
  </si>
  <si>
    <r>
      <t>Prix du transport des agneaux lourds</t>
    </r>
    <r>
      <rPr>
        <vertAlign val="superscript"/>
        <sz val="11"/>
        <rFont val="Aptos"/>
        <family val="2"/>
      </rPr>
      <t>1</t>
    </r>
  </si>
  <si>
    <t>/agneau</t>
  </si>
  <si>
    <t>Frais de mise en marché des agneaux lourds</t>
  </si>
  <si>
    <r>
      <t>Prix du transport des agneaux légers</t>
    </r>
    <r>
      <rPr>
        <vertAlign val="superscript"/>
        <sz val="11"/>
        <rFont val="Aptos"/>
        <family val="2"/>
      </rPr>
      <t>1</t>
    </r>
  </si>
  <si>
    <t>Frais de mise en marché des agneaux légers (encan)</t>
  </si>
  <si>
    <r>
      <t>Prix du transport des agneaux de lait</t>
    </r>
    <r>
      <rPr>
        <vertAlign val="superscript"/>
        <sz val="11"/>
        <rFont val="Aptos"/>
        <family val="2"/>
      </rPr>
      <t>1</t>
    </r>
  </si>
  <si>
    <t>Frais de mise en marché des agneaux de lait (encan)</t>
  </si>
  <si>
    <t>Frais de promotion</t>
  </si>
  <si>
    <t>Prix d’achat des agnelles de remplacement</t>
  </si>
  <si>
    <t>/agnelle</t>
  </si>
  <si>
    <t>Prix du transport par agnelle (achat)</t>
  </si>
  <si>
    <t>Prix d’achat des béliers maternels/prolifiques</t>
  </si>
  <si>
    <t>/bélier</t>
  </si>
  <si>
    <t>Durée de vie productive des béliers maternels/prolifiques</t>
  </si>
  <si>
    <t>ans</t>
  </si>
  <si>
    <t>Âge d’achat des agnelles</t>
  </si>
  <si>
    <t>mois</t>
  </si>
  <si>
    <t>jours</t>
  </si>
  <si>
    <t>Taux de sélection des agnelles (génétique et conformation)</t>
  </si>
  <si>
    <r>
      <t>ASRA net (tête d’agneau)</t>
    </r>
    <r>
      <rPr>
        <vertAlign val="superscript"/>
        <sz val="11"/>
        <color rgb="FF000000"/>
        <rFont val="Calibri"/>
        <family val="2"/>
        <scheme val="minor"/>
      </rPr>
      <t>2</t>
    </r>
  </si>
  <si>
    <r>
      <t>ASRA net (kilogramme produit)</t>
    </r>
    <r>
      <rPr>
        <vertAlign val="superscript"/>
        <sz val="11"/>
        <color rgb="FF000000"/>
        <rFont val="Calibri"/>
        <family val="2"/>
        <scheme val="minor"/>
      </rPr>
      <t>2</t>
    </r>
  </si>
  <si>
    <t>/kg produit</t>
  </si>
  <si>
    <r>
      <t>Frais d’entretien des agneaux ($/jour/agneau)</t>
    </r>
    <r>
      <rPr>
        <vertAlign val="superscript"/>
        <sz val="11"/>
        <color rgb="FF000000"/>
        <rFont val="Calibri"/>
        <family val="2"/>
        <scheme val="minor"/>
      </rPr>
      <t>3</t>
    </r>
  </si>
  <si>
    <t>/jour/agneau</t>
  </si>
  <si>
    <t>Prolificité</t>
  </si>
  <si>
    <t>agneaux/brebis/an</t>
  </si>
  <si>
    <t>Mortalité totale</t>
  </si>
  <si>
    <t>Agneaux réchappés (vendables)</t>
  </si>
  <si>
    <t>agneaux vivants/brebis</t>
  </si>
  <si>
    <t>agneaux</t>
  </si>
  <si>
    <t>Ratio brebis/bélier pour la production d’agnelles de remplacement</t>
  </si>
  <si>
    <t>brebis/bélier</t>
  </si>
  <si>
    <r>
      <t>N</t>
    </r>
    <r>
      <rPr>
        <vertAlign val="superscript"/>
        <sz val="11"/>
        <color theme="1"/>
        <rFont val="Aptos"/>
        <family val="2"/>
      </rPr>
      <t>bre</t>
    </r>
    <r>
      <rPr>
        <sz val="11"/>
        <color theme="1"/>
        <rFont val="Aptos"/>
        <family val="2"/>
      </rPr>
      <t xml:space="preserve"> de groupes de saillie avec production d’agnelles de remplacement</t>
    </r>
    <r>
      <rPr>
        <vertAlign val="superscript"/>
        <sz val="11"/>
        <color theme="1"/>
        <rFont val="Aptos"/>
        <family val="2"/>
      </rPr>
      <t>5</t>
    </r>
  </si>
  <si>
    <t>groupes/année</t>
  </si>
  <si>
    <r>
      <t>Référence</t>
    </r>
    <r>
      <rPr>
        <b/>
        <sz val="11"/>
        <rFont val="Aptos"/>
        <family val="2"/>
      </rPr>
      <t>s :</t>
    </r>
  </si>
  <si>
    <r>
      <rPr>
        <vertAlign val="superscript"/>
        <sz val="11"/>
        <rFont val="Aptos"/>
        <family val="2"/>
      </rPr>
      <t>1</t>
    </r>
    <r>
      <rPr>
        <sz val="11"/>
        <rFont val="Aptos"/>
        <family val="2"/>
      </rPr>
      <t xml:space="preserve"> Inclure les frais de transport et les frais de poste de rassemblement OU estimer les frais de transport.</t>
    </r>
  </si>
  <si>
    <r>
      <rPr>
        <u/>
        <vertAlign val="superscript"/>
        <sz val="11"/>
        <color rgb="FF0070C0"/>
        <rFont val="Calibri"/>
        <family val="2"/>
        <scheme val="minor"/>
      </rPr>
      <t>2</t>
    </r>
    <r>
      <rPr>
        <u/>
        <sz val="11"/>
        <color rgb="FF0070C0"/>
        <rFont val="Calibri"/>
        <family val="2"/>
        <scheme val="minor"/>
      </rPr>
      <t xml:space="preserve"> La Financière agricole du Québec : assurance stabilisation - Informations administrative et économique (fadq.qc.ca)</t>
    </r>
  </si>
  <si>
    <r>
      <rPr>
        <vertAlign val="superscript"/>
        <sz val="11"/>
        <rFont val="Aptos"/>
        <family val="2"/>
      </rPr>
      <t>4</t>
    </r>
    <r>
      <rPr>
        <sz val="11"/>
        <rFont val="Aptos"/>
        <family val="2"/>
      </rPr>
      <t xml:space="preserve"> Incluant les agnelles de remplacement.</t>
    </r>
  </si>
  <si>
    <r>
      <rPr>
        <vertAlign val="superscript"/>
        <sz val="11"/>
        <color theme="1"/>
        <rFont val="Aptos"/>
        <family val="2"/>
      </rPr>
      <t xml:space="preserve">5 </t>
    </r>
    <r>
      <rPr>
        <sz val="11"/>
        <color theme="1"/>
        <rFont val="Aptos"/>
        <family val="2"/>
      </rPr>
      <t xml:space="preserve">Prévoir le nombre de groupes en fonction de l’aménagement des bâtiments, du nombre de brebis à exposer. Plus le nombre de groupes est petit, plus les agnelles risquent d’être élevées longtemps avant d’être saillies. </t>
    </r>
  </si>
  <si>
    <t>Nombre de brebis et de béliers nécessaires pour la production d'agnelles de remplacement</t>
  </si>
  <si>
    <t>Mortalité globale</t>
  </si>
  <si>
    <t>Taux de remplacement souhaité</t>
  </si>
  <si>
    <t>Nombre d'agnelles nécessaires pour le remplacement</t>
  </si>
  <si>
    <t>Taux de sélection des agnelles</t>
  </si>
  <si>
    <t>Nombre d'agnelles avant mortalité</t>
  </si>
  <si>
    <t>Nombre d'agnelles avant sélection</t>
  </si>
  <si>
    <t>Ratio mâle - femelle</t>
  </si>
  <si>
    <t>Nombre d'agneaux à élever</t>
  </si>
  <si>
    <t>Nombre de brebis nécessaires</t>
  </si>
  <si>
    <t>Ratio brebis/bélier</t>
  </si>
  <si>
    <t>Nb de groupes par an</t>
  </si>
  <si>
    <t>Nombre bélier selon calcul</t>
  </si>
  <si>
    <t>Nombre de béliers nécessaires</t>
  </si>
  <si>
    <t>Produits en plus</t>
  </si>
  <si>
    <t>Produits en moins</t>
  </si>
  <si>
    <t>Nombre</t>
  </si>
  <si>
    <t>Poids</t>
  </si>
  <si>
    <t>Prix</t>
  </si>
  <si>
    <t>Total</t>
  </si>
  <si>
    <t>Vente d’agnelles à la viande (lourds)</t>
  </si>
  <si>
    <t>Aucun</t>
  </si>
  <si>
    <t>Vente d’agnelles à la viande (légers)</t>
  </si>
  <si>
    <t>lb</t>
  </si>
  <si>
    <t>Vente d’agnelles à la viande (lait)</t>
  </si>
  <si>
    <t>ASRA net</t>
  </si>
  <si>
    <t>Sous-total</t>
  </si>
  <si>
    <t>Dépenses en moins</t>
  </si>
  <si>
    <t>Dépenses en plus</t>
  </si>
  <si>
    <t>Nombre d’agnelles</t>
  </si>
  <si>
    <t>Nombre de jours</t>
  </si>
  <si>
    <t>Prix/jour</t>
  </si>
  <si>
    <r>
      <t xml:space="preserve">Alimentation agnelles – lourds
</t>
    </r>
    <r>
      <rPr>
        <sz val="10"/>
        <rFont val="Aptos"/>
        <family val="2"/>
      </rPr>
      <t>(nombre de jours entre la vente des agneaux et l’achat des agnelles à 6 mois)</t>
    </r>
  </si>
  <si>
    <t>Achat d’agnelles</t>
  </si>
  <si>
    <r>
      <t xml:space="preserve">Alimentation agnelles – légers
</t>
    </r>
    <r>
      <rPr>
        <sz val="10"/>
        <rFont val="Aptos"/>
        <family val="2"/>
      </rPr>
      <t>(nombre de jours entre la vente des agneaux et l’achat des agnelles à 6 mois)</t>
    </r>
  </si>
  <si>
    <t>Intérêts si financement pour achat d’agnelles</t>
  </si>
  <si>
    <r>
      <t xml:space="preserve">Alimentation agnelles – lait
</t>
    </r>
    <r>
      <rPr>
        <sz val="10"/>
        <rFont val="Aptos"/>
        <family val="2"/>
      </rPr>
      <t>(nombre de jours entre la vente des agneaux et l’achat des agnelles à 6 mois)</t>
    </r>
  </si>
  <si>
    <t>Prix/bélier</t>
  </si>
  <si>
    <t>Nombre d’années de vie productive</t>
  </si>
  <si>
    <t>Nombre de têtes</t>
  </si>
  <si>
    <t>Achat de béliers maternels/prolifiques</t>
  </si>
  <si>
    <t>Transport des agnelles</t>
  </si>
  <si>
    <r>
      <t>Nombre de jours de croissance en moins</t>
    </r>
    <r>
      <rPr>
        <b/>
        <vertAlign val="superscript"/>
        <sz val="10"/>
        <rFont val="Aptos"/>
        <family val="2"/>
      </rPr>
      <t>1</t>
    </r>
  </si>
  <si>
    <t>Nombre d’agneaux à élever 
pour assurer le remplacement</t>
  </si>
  <si>
    <t>Frais de mise en marché</t>
  </si>
  <si>
    <t>Frais de transport</t>
  </si>
  <si>
    <t>Meilleure performance des agneaux en lien avec l’utilisation de béliers terminaux uniquement</t>
  </si>
  <si>
    <t>Agnelles vendues – lourds</t>
  </si>
  <si>
    <t>Agnelles vendues – légers</t>
  </si>
  <si>
    <t>Agnelles vendues – lait</t>
  </si>
  <si>
    <t>Résultat</t>
  </si>
  <si>
    <t>Si le résultat est négatif, il est plus avantageux de produire les agnelles que de les acheter. Au contraire, si le résultat est positif, il est plus avantageux d’acheter les agnelles que de les produire.</t>
  </si>
  <si>
    <t>Références</t>
  </si>
  <si>
    <t>Repartition-des-EPD-selon-leur-rang-centile_Juillet-2018.pdf (genovis.ca)</t>
  </si>
  <si>
    <t>Prolificité actuelle</t>
  </si>
  <si>
    <t>Prolificité améliorée visée</t>
  </si>
  <si>
    <t>Agneaux réchappés (vendables) avec prolificité améliorée</t>
  </si>
  <si>
    <t>Nombre d’agneaux produits par les nouvelles agnelles</t>
  </si>
  <si>
    <t>Poids de vente</t>
  </si>
  <si>
    <t>Vente d’agneaux supplémentaires – lourds</t>
  </si>
  <si>
    <t>Vente d’agneaux supplémentaires – légers</t>
  </si>
  <si>
    <t>Vente d’agneaux supplémentaires – lait</t>
  </si>
  <si>
    <t>Poids (kg)</t>
  </si>
  <si>
    <t>ASRA net agneaux</t>
  </si>
  <si>
    <t>Aucune</t>
  </si>
  <si>
    <t>Alimentation des agneaux supplémentaires – lourds</t>
  </si>
  <si>
    <t>Alimentation des agneaux supplémentaires – légers</t>
  </si>
  <si>
    <t>Alimentation des agneaux supplémentaires – lait</t>
  </si>
  <si>
    <t>Agneaux supplémentaires – lourds</t>
  </si>
  <si>
    <t>Agneaux supplémentaires – légers</t>
  </si>
  <si>
    <t>Agneaux supplémentaires – lait</t>
  </si>
  <si>
    <t>Un résultat positif correspond à un gain financier pour l’entreprise pour la première année et signifie donc qu’il est rentable d’améliorer les performances.</t>
  </si>
  <si>
    <t>Montant du prêt*</t>
  </si>
  <si>
    <t>Paiements</t>
  </si>
  <si>
    <t>Taux d’intérêt annuel</t>
  </si>
  <si>
    <t>Durée du prêt (années)</t>
  </si>
  <si>
    <t xml:space="preserve"> Intérêts prévus</t>
  </si>
  <si>
    <t>Nombre de paiements par année</t>
  </si>
  <si>
    <t>Nombre de périodes de capitalisation par année</t>
  </si>
  <si>
    <t>Intérêts prévus pour la première année</t>
  </si>
  <si>
    <t>Date de début du prêt</t>
  </si>
  <si>
    <r>
      <t xml:space="preserve">* Ajustez le montant du prêt en fonction du montant à financer. Inscrivez le chiffre </t>
    </r>
    <r>
      <rPr>
        <b/>
        <sz val="11"/>
        <rFont val="Aptos"/>
        <family val="2"/>
      </rPr>
      <t>zéro</t>
    </r>
    <r>
      <rPr>
        <sz val="11"/>
        <rFont val="Aptos"/>
        <family val="2"/>
      </rPr>
      <t xml:space="preserve"> si vous n’avez aucun financement. </t>
    </r>
  </si>
  <si>
    <t>Calendrier des paiements</t>
  </si>
  <si>
    <t>Numéro 
du paiement</t>
  </si>
  <si>
    <t>Date du 
paiement</t>
  </si>
  <si>
    <t>Solde 
d’ouverture</t>
  </si>
  <si>
    <t>Paiement 
prévu</t>
  </si>
  <si>
    <t>Intérêts</t>
  </si>
  <si>
    <t>Principal</t>
  </si>
  <si>
    <t>Solde 
de clôture</t>
  </si>
  <si>
    <r>
      <t>Total d'agneaux produits</t>
    </r>
    <r>
      <rPr>
        <vertAlign val="superscript"/>
        <sz val="11"/>
        <color theme="1"/>
        <rFont val="Aptos"/>
        <family val="2"/>
      </rPr>
      <t>4</t>
    </r>
  </si>
  <si>
    <t>Total d'agneaux vendables</t>
  </si>
  <si>
    <r>
      <rPr>
        <vertAlign val="superscript"/>
        <sz val="10"/>
        <color theme="1"/>
        <rFont val="Aptos"/>
        <family val="2"/>
      </rPr>
      <t xml:space="preserve">1 </t>
    </r>
    <r>
      <rPr>
        <sz val="10"/>
        <color theme="1"/>
        <rFont val="Aptos"/>
        <family val="2"/>
      </rPr>
      <t xml:space="preserve">L’utilisation d’un bélier terminal, comparativement à un bélier prolifique, permet une durée de croissance de 11,49 jours de moins. Les calculs ont été faits à partir des données d’un bélier Suffolk et d’un bélier Romanov, tous deux élites (améliorateurs à 90 %) en fonction du critère de gain (50-100 jours), selon la répartition des écarts prévus pour la descendance (EPD) disponible sur GenOvis. </t>
    </r>
  </si>
  <si>
    <r>
      <t xml:space="preserve">Toutes les cases en </t>
    </r>
    <r>
      <rPr>
        <b/>
        <u/>
        <sz val="11"/>
        <color rgb="FF0099CC"/>
        <rFont val="Aptos"/>
        <family val="2"/>
      </rPr>
      <t>bleu</t>
    </r>
    <r>
      <rPr>
        <b/>
        <sz val="11"/>
        <color theme="9" tint="-0.249977111117893"/>
        <rFont val="Aptos"/>
        <family val="2"/>
      </rPr>
      <t xml:space="preserve"> doivent être remplies avec le maximum de précision possible selon vos propres données. Des données de base sont inscrites à titre indicatif.</t>
    </r>
  </si>
  <si>
    <r>
      <rPr>
        <vertAlign val="superscript"/>
        <sz val="11"/>
        <color rgb="FF000000"/>
        <rFont val="Calibri"/>
        <family val="2"/>
        <scheme val="minor"/>
      </rPr>
      <t>3</t>
    </r>
    <r>
      <rPr>
        <sz val="11"/>
        <color rgb="FF000000"/>
        <rFont val="Calibri"/>
        <family val="2"/>
        <scheme val="minor"/>
      </rPr>
      <t xml:space="preserve"> Les frais d’entretien indexés pour l’année 2024 sont es</t>
    </r>
    <r>
      <rPr>
        <sz val="11"/>
        <rFont val="Calibri"/>
        <family val="2"/>
        <scheme val="minor"/>
      </rPr>
      <t>timés à 1,32 $/agneau/jour,</t>
    </r>
    <r>
      <rPr>
        <sz val="11"/>
        <color rgb="FF000000"/>
        <rFont val="Calibri"/>
        <family val="2"/>
        <scheme val="minor"/>
      </rPr>
      <t xml:space="preserve"> selon les estimations de Line Belleau du Centre d'études sur les coûts de production en agriculture (CECPA) à partir de l’étude du coût de production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</si>
</sst>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0.00\ &quot;$&quot;_);[Red]\(#,##0.00\ &quot;$&quot;\)"/>
    <numFmt numFmtId="44" formatCode="_ * #,##0.00_)\ &quot;$&quot;_ ;_ * \(#,##0.00\)\ &quot;$&quot;_ ;_ * &quot;-&quot;??_)\ &quot;$&quot;_ ;_ @_ "/>
    <numFmt numFmtId="43" formatCode="_ * #,##0.00_)_ ;_ * \(#,##0.00\)_ ;_ * &quot;-&quot;??_)_ ;_ @_ "/>
    <numFmt numFmtId="164" formatCode="_ * #,##0.0000_)\ &quot;$&quot;_ ;_ * \(#,##0.0000\)\ &quot;$&quot;_ ;_ * &quot;-&quot;??_)\ &quot;$&quot;_ ;_ @_ "/>
    <numFmt numFmtId="165" formatCode="_ * #,##0.00_)\ &quot;$&quot;_ ;_ * \(#,##0.00\)\ &quot;$&quot;_ ;_ * &quot;-&quot;????_)\ &quot;$&quot;_ ;_ @_ "/>
    <numFmt numFmtId="166" formatCode="0.000"/>
    <numFmt numFmtId="167" formatCode="_ * #,##0_)\ &quot;$&quot;_ ;_ * \(#,##0\)\ &quot;$&quot;_ ;_ * &quot;-&quot;??_)\ &quot;$&quot;_ ;_ @_ "/>
    <numFmt numFmtId="168" formatCode="0.0000"/>
    <numFmt numFmtId="169" formatCode="0&quot; &quot;%"/>
  </numFmts>
  <fonts count="5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8"/>
      <color theme="3"/>
      <name val="Calibri Light"/>
      <family val="2"/>
      <scheme val="major"/>
    </font>
    <font>
      <sz val="11"/>
      <color rgb="FF000000"/>
      <name val="Calibri"/>
      <family val="2"/>
      <scheme val="minor"/>
    </font>
    <font>
      <b/>
      <sz val="11"/>
      <color rgb="FFFF0000"/>
      <name val="Calibri"/>
      <family val="2"/>
      <scheme val="minor"/>
    </font>
    <font>
      <b/>
      <sz val="9"/>
      <color indexed="81"/>
      <name val="Tahoma"/>
      <family val="2"/>
    </font>
    <font>
      <b/>
      <sz val="18"/>
      <color theme="9" tint="-0.499984740745262"/>
      <name val="Aptos"/>
      <family val="2"/>
    </font>
    <font>
      <sz val="11"/>
      <color theme="1"/>
      <name val="Aptos"/>
      <family val="2"/>
    </font>
    <font>
      <b/>
      <sz val="11"/>
      <color theme="9" tint="-0.249977111117893"/>
      <name val="Aptos"/>
      <family val="2"/>
    </font>
    <font>
      <b/>
      <sz val="11"/>
      <color rgb="FF9BC13C"/>
      <name val="Aptos"/>
      <family val="2"/>
    </font>
    <font>
      <b/>
      <sz val="11"/>
      <color theme="1"/>
      <name val="Aptos"/>
      <family val="2"/>
    </font>
    <font>
      <b/>
      <sz val="11"/>
      <color rgb="FF00B050"/>
      <name val="Aptos"/>
      <family val="2"/>
    </font>
    <font>
      <sz val="11"/>
      <color rgb="FF00B050"/>
      <name val="Aptos"/>
      <family val="2"/>
    </font>
    <font>
      <b/>
      <sz val="18"/>
      <color rgb="FF9D2174"/>
      <name val="Aptos"/>
      <family val="2"/>
    </font>
    <font>
      <vertAlign val="superscript"/>
      <sz val="11"/>
      <color rgb="FF000000"/>
      <name val="Calibri"/>
      <family val="2"/>
      <scheme val="minor"/>
    </font>
    <font>
      <vertAlign val="superscript"/>
      <sz val="11"/>
      <color theme="1"/>
      <name val="Aptos"/>
      <family val="2"/>
    </font>
    <font>
      <sz val="10"/>
      <color theme="1"/>
      <name val="Aptos"/>
      <family val="2"/>
    </font>
    <font>
      <b/>
      <sz val="10"/>
      <color theme="1"/>
      <name val="Aptos"/>
      <family val="2"/>
    </font>
    <font>
      <sz val="10"/>
      <color rgb="FF0070C0"/>
      <name val="Aptos"/>
      <family val="2"/>
    </font>
    <font>
      <b/>
      <sz val="10"/>
      <color rgb="FF7030A0"/>
      <name val="Aptos"/>
      <family val="2"/>
    </font>
    <font>
      <sz val="10"/>
      <color rgb="FF000000"/>
      <name val="Aptos"/>
      <family val="2"/>
    </font>
    <font>
      <sz val="10"/>
      <color rgb="FFFF0000"/>
      <name val="Aptos"/>
      <family val="2"/>
    </font>
    <font>
      <u/>
      <sz val="10"/>
      <color theme="10"/>
      <name val="Aptos"/>
      <family val="2"/>
    </font>
    <font>
      <b/>
      <sz val="13"/>
      <color theme="0"/>
      <name val="Aptos"/>
      <family val="2"/>
    </font>
    <font>
      <b/>
      <sz val="10"/>
      <color theme="0"/>
      <name val="Aptos"/>
      <family val="2"/>
    </font>
    <font>
      <b/>
      <sz val="14"/>
      <color theme="1"/>
      <name val="Aptos"/>
      <family val="2"/>
    </font>
    <font>
      <b/>
      <sz val="11"/>
      <color theme="0"/>
      <name val="Aptos"/>
      <family val="2"/>
    </font>
    <font>
      <b/>
      <sz val="11"/>
      <color rgb="FF000000"/>
      <name val="Aptos"/>
      <family val="2"/>
    </font>
    <font>
      <b/>
      <sz val="10"/>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0"/>
      <name val="Aptos"/>
      <family val="2"/>
    </font>
    <font>
      <sz val="10"/>
      <color rgb="FFFF0000"/>
      <name val="Calibri"/>
      <family val="2"/>
      <scheme val="minor"/>
    </font>
    <font>
      <u/>
      <sz val="10"/>
      <color theme="10"/>
      <name val="Calibri"/>
      <family val="2"/>
      <scheme val="minor"/>
    </font>
    <font>
      <sz val="10"/>
      <name val="Aptos"/>
      <family val="2"/>
    </font>
    <font>
      <sz val="10"/>
      <name val="Calibri"/>
      <family val="2"/>
      <scheme val="minor"/>
    </font>
    <font>
      <sz val="10"/>
      <color rgb="FF006600"/>
      <name val="Calibri"/>
      <family val="2"/>
      <scheme val="minor"/>
    </font>
    <font>
      <sz val="11"/>
      <name val="Aptos"/>
      <family val="2"/>
    </font>
    <font>
      <b/>
      <u/>
      <sz val="11"/>
      <color rgb="FF0099CC"/>
      <name val="Aptos"/>
      <family val="2"/>
    </font>
    <font>
      <b/>
      <sz val="14"/>
      <color theme="0"/>
      <name val="Aptos"/>
      <family val="2"/>
    </font>
    <font>
      <b/>
      <vertAlign val="superscript"/>
      <sz val="10"/>
      <name val="Aptos"/>
      <family val="2"/>
    </font>
    <font>
      <b/>
      <sz val="11"/>
      <color rgb="FF006600"/>
      <name val="Aptos"/>
      <family val="2"/>
    </font>
    <font>
      <sz val="10"/>
      <color theme="0"/>
      <name val="Aptos"/>
      <family val="2"/>
    </font>
    <font>
      <sz val="10"/>
      <color theme="0"/>
      <name val="Calibri"/>
      <family val="2"/>
      <scheme val="minor"/>
    </font>
    <font>
      <sz val="11"/>
      <color rgb="FFFF0000"/>
      <name val="Aptos"/>
      <family val="2"/>
    </font>
    <font>
      <b/>
      <sz val="11"/>
      <name val="Aptos"/>
      <family val="2"/>
    </font>
    <font>
      <vertAlign val="superscript"/>
      <sz val="11"/>
      <name val="Aptos"/>
      <family val="2"/>
    </font>
    <font>
      <u/>
      <sz val="11"/>
      <color rgb="FF0070C0"/>
      <name val="Calibri"/>
      <family val="2"/>
      <scheme val="minor"/>
    </font>
    <font>
      <u/>
      <vertAlign val="superscript"/>
      <sz val="11"/>
      <color rgb="FF0070C0"/>
      <name val="Calibri"/>
      <family val="2"/>
      <scheme val="minor"/>
    </font>
    <font>
      <sz val="11"/>
      <name val="Calibri"/>
      <family val="2"/>
      <scheme val="minor"/>
    </font>
    <font>
      <b/>
      <sz val="10"/>
      <color rgb="FF000000"/>
      <name val="Aptos"/>
      <family val="2"/>
    </font>
    <font>
      <vertAlign val="superscript"/>
      <sz val="10"/>
      <color theme="1"/>
      <name val="Aptos"/>
      <family val="2"/>
    </font>
  </fonts>
  <fills count="7">
    <fill>
      <patternFill patternType="none"/>
    </fill>
    <fill>
      <patternFill patternType="gray125"/>
    </fill>
    <fill>
      <patternFill patternType="solid">
        <fgColor theme="0"/>
        <bgColor indexed="64"/>
      </patternFill>
    </fill>
    <fill>
      <patternFill patternType="solid">
        <fgColor rgb="FF006600"/>
        <bgColor indexed="64"/>
      </patternFill>
    </fill>
    <fill>
      <patternFill patternType="solid">
        <fgColor theme="9" tint="-0.249977111117893"/>
        <bgColor indexed="64"/>
      </patternFill>
    </fill>
    <fill>
      <patternFill patternType="solid">
        <fgColor rgb="FF92D050"/>
        <bgColor indexed="64"/>
      </patternFill>
    </fill>
    <fill>
      <patternFill patternType="solid">
        <fgColor rgb="FF91DFF7"/>
        <bgColor indexed="64"/>
      </patternFill>
    </fill>
  </fills>
  <borders count="57">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top style="medium">
        <color theme="0" tint="-0.34998626667073579"/>
      </top>
      <bottom style="hair">
        <color theme="0" tint="-0.34998626667073579"/>
      </bottom>
      <diagonal/>
    </border>
    <border>
      <left/>
      <right/>
      <top style="medium">
        <color theme="0" tint="-0.34998626667073579"/>
      </top>
      <bottom style="hair">
        <color theme="0" tint="-0.34998626667073579"/>
      </bottom>
      <diagonal/>
    </border>
    <border>
      <left/>
      <right style="medium">
        <color theme="0" tint="-0.34998626667073579"/>
      </right>
      <top style="medium">
        <color theme="0" tint="-0.34998626667073579"/>
      </top>
      <bottom style="hair">
        <color theme="0" tint="-0.34998626667073579"/>
      </bottom>
      <diagonal/>
    </border>
    <border>
      <left style="medium">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medium">
        <color theme="0" tint="-0.34998626667073579"/>
      </right>
      <top style="hair">
        <color theme="0" tint="-0.34998626667073579"/>
      </top>
      <bottom style="hair">
        <color theme="0" tint="-0.34998626667073579"/>
      </bottom>
      <diagonal/>
    </border>
    <border>
      <left style="medium">
        <color theme="0" tint="-0.34998626667073579"/>
      </left>
      <right/>
      <top style="hair">
        <color theme="0" tint="-0.34998626667073579"/>
      </top>
      <bottom style="medium">
        <color theme="0" tint="-0.34998626667073579"/>
      </bottom>
      <diagonal/>
    </border>
    <border>
      <left/>
      <right/>
      <top style="hair">
        <color theme="0" tint="-0.34998626667073579"/>
      </top>
      <bottom style="medium">
        <color theme="0" tint="-0.34998626667073579"/>
      </bottom>
      <diagonal/>
    </border>
    <border>
      <left/>
      <right style="medium">
        <color theme="0" tint="-0.34998626667073579"/>
      </right>
      <top style="hair">
        <color theme="0" tint="-0.34998626667073579"/>
      </top>
      <bottom style="medium">
        <color theme="0" tint="-0.34998626667073579"/>
      </bottom>
      <diagonal/>
    </border>
    <border>
      <left/>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indexed="64"/>
      </bottom>
      <diagonal/>
    </border>
    <border>
      <left style="thick">
        <color theme="2" tint="-0.24994659260841701"/>
      </left>
      <right/>
      <top style="thick">
        <color theme="2" tint="-0.24994659260841701"/>
      </top>
      <bottom style="thick">
        <color theme="2" tint="-0.24994659260841701"/>
      </bottom>
      <diagonal/>
    </border>
    <border>
      <left/>
      <right style="thick">
        <color theme="2" tint="-0.24994659260841701"/>
      </right>
      <top style="thick">
        <color theme="2" tint="-0.24994659260841701"/>
      </top>
      <bottom style="thick">
        <color theme="2" tint="-0.2499465926084170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medium">
        <color theme="0" tint="-0.24994659260841701"/>
      </left>
      <right/>
      <top/>
      <bottom style="hair">
        <color auto="1"/>
      </bottom>
      <diagonal/>
    </border>
    <border>
      <left style="medium">
        <color theme="0" tint="-0.24994659260841701"/>
      </left>
      <right/>
      <top style="hair">
        <color auto="1"/>
      </top>
      <bottom style="hair">
        <color auto="1"/>
      </bottom>
      <diagonal/>
    </border>
    <border>
      <left style="medium">
        <color theme="0" tint="-0.24994659260841701"/>
      </left>
      <right/>
      <top style="hair">
        <color auto="1"/>
      </top>
      <bottom/>
      <diagonal/>
    </border>
    <border>
      <left/>
      <right/>
      <top style="thick">
        <color theme="2" tint="-0.24994659260841701"/>
      </top>
      <bottom style="medium">
        <color theme="0" tint="-0.24994659260841701"/>
      </bottom>
      <diagonal/>
    </border>
    <border>
      <left/>
      <right style="medium">
        <color theme="0" tint="-0.24994659260841701"/>
      </right>
      <top style="thick">
        <color theme="2" tint="-0.24994659260841701"/>
      </top>
      <bottom style="thick">
        <color theme="2" tint="-0.24994659260841701"/>
      </bottom>
      <diagonal/>
    </border>
    <border>
      <left/>
      <right style="medium">
        <color theme="0" tint="-0.24994659260841701"/>
      </right>
      <top/>
      <bottom style="hair">
        <color auto="1"/>
      </bottom>
      <diagonal/>
    </border>
    <border>
      <left/>
      <right style="medium">
        <color theme="0" tint="-0.24994659260841701"/>
      </right>
      <top style="hair">
        <color auto="1"/>
      </top>
      <bottom style="hair">
        <color auto="1"/>
      </bottom>
      <diagonal/>
    </border>
    <border>
      <left/>
      <right style="medium">
        <color theme="0" tint="-0.24994659260841701"/>
      </right>
      <top style="hair">
        <color auto="1"/>
      </top>
      <bottom/>
      <diagonal/>
    </border>
    <border>
      <left style="medium">
        <color theme="0" tint="-0.249977111117893"/>
      </left>
      <right/>
      <top style="medium">
        <color theme="0" tint="-0.249977111117893"/>
      </top>
      <bottom/>
      <diagonal/>
    </border>
    <border>
      <left/>
      <right/>
      <top style="medium">
        <color theme="0" tint="-0.249977111117893"/>
      </top>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365">
    <xf numFmtId="0" fontId="0" fillId="0" borderId="0" xfId="0"/>
    <xf numFmtId="1" fontId="0" fillId="0" borderId="0" xfId="0" applyNumberFormat="1"/>
    <xf numFmtId="44" fontId="0" fillId="0" borderId="0" xfId="2" applyFont="1"/>
    <xf numFmtId="0" fontId="0" fillId="0" borderId="0" xfId="0" applyAlignment="1">
      <alignment horizontal="center"/>
    </xf>
    <xf numFmtId="0" fontId="2" fillId="0" borderId="0" xfId="0" applyFont="1"/>
    <xf numFmtId="0" fontId="3" fillId="0" borderId="0" xfId="0" applyFont="1"/>
    <xf numFmtId="0" fontId="0" fillId="0" borderId="0" xfId="0" applyAlignment="1">
      <alignment wrapText="1"/>
    </xf>
    <xf numFmtId="9" fontId="0" fillId="0" borderId="0" xfId="0" applyNumberFormat="1"/>
    <xf numFmtId="9" fontId="0" fillId="0" borderId="0" xfId="3" applyFont="1" applyFill="1" applyBorder="1"/>
    <xf numFmtId="0" fontId="0" fillId="0" borderId="0" xfId="0" applyAlignment="1">
      <alignment horizontal="center" wrapText="1"/>
    </xf>
    <xf numFmtId="0" fontId="3" fillId="0" borderId="1" xfId="0" applyFont="1" applyBorder="1"/>
    <xf numFmtId="1" fontId="3" fillId="0" borderId="2" xfId="0" applyNumberFormat="1" applyFont="1" applyBorder="1"/>
    <xf numFmtId="1" fontId="3" fillId="0" borderId="2" xfId="0" applyNumberFormat="1" applyFont="1" applyBorder="1" applyAlignment="1">
      <alignment horizontal="center"/>
    </xf>
    <xf numFmtId="166" fontId="0" fillId="0" borderId="0" xfId="0" applyNumberFormat="1" applyAlignment="1">
      <alignment horizontal="center"/>
    </xf>
    <xf numFmtId="14" fontId="0" fillId="0" borderId="0" xfId="0" applyNumberFormat="1" applyAlignment="1">
      <alignment horizontal="center"/>
    </xf>
    <xf numFmtId="9" fontId="2" fillId="0" borderId="0" xfId="0" applyNumberFormat="1" applyFont="1"/>
    <xf numFmtId="1" fontId="2" fillId="0" borderId="0" xfId="0" applyNumberFormat="1" applyFont="1"/>
    <xf numFmtId="0" fontId="2" fillId="0" borderId="0" xfId="0" applyFont="1" applyAlignment="1">
      <alignment horizontal="center"/>
    </xf>
    <xf numFmtId="0" fontId="2" fillId="0" borderId="0" xfId="0" applyFont="1" applyAlignment="1">
      <alignment horizontal="center" wrapText="1"/>
    </xf>
    <xf numFmtId="1" fontId="2" fillId="0" borderId="0" xfId="0" applyNumberFormat="1" applyFont="1" applyAlignment="1">
      <alignment horizontal="center"/>
    </xf>
    <xf numFmtId="1" fontId="7" fillId="0" borderId="0" xfId="0" applyNumberFormat="1" applyFont="1"/>
    <xf numFmtId="1" fontId="3" fillId="0" borderId="0" xfId="0" applyNumberFormat="1" applyFont="1" applyAlignment="1">
      <alignment horizontal="center"/>
    </xf>
    <xf numFmtId="0" fontId="10" fillId="0" borderId="0" xfId="0" applyFont="1"/>
    <xf numFmtId="0" fontId="14" fillId="0" borderId="0" xfId="0" applyFont="1"/>
    <xf numFmtId="0" fontId="15" fillId="0" borderId="0" xfId="0" applyFont="1"/>
    <xf numFmtId="0" fontId="16" fillId="0" borderId="0" xfId="6" applyFont="1" applyAlignment="1">
      <alignment horizontal="left"/>
    </xf>
    <xf numFmtId="0" fontId="9" fillId="0" borderId="0" xfId="6" applyFont="1" applyAlignment="1"/>
    <xf numFmtId="0" fontId="16" fillId="0" borderId="0" xfId="6" applyFont="1" applyAlignment="1"/>
    <xf numFmtId="0" fontId="10" fillId="0" borderId="0" xfId="0" applyFont="1" applyAlignment="1">
      <alignment vertical="center"/>
    </xf>
    <xf numFmtId="0" fontId="9" fillId="0" borderId="0" xfId="0" applyFont="1" applyAlignment="1">
      <alignment vertical="center"/>
    </xf>
    <xf numFmtId="0" fontId="12" fillId="0" borderId="0" xfId="0" applyFont="1" applyAlignment="1">
      <alignment vertical="center"/>
    </xf>
    <xf numFmtId="0" fontId="10" fillId="0" borderId="0" xfId="0" applyFont="1" applyAlignment="1">
      <alignment vertical="center" wrapText="1"/>
    </xf>
    <xf numFmtId="0" fontId="10" fillId="0" borderId="0" xfId="0" applyFont="1" applyAlignment="1">
      <alignment horizontal="center" vertical="center"/>
    </xf>
    <xf numFmtId="0" fontId="13" fillId="0" borderId="0" xfId="0" applyFont="1" applyAlignment="1">
      <alignment horizontal="center" vertical="center"/>
    </xf>
    <xf numFmtId="0" fontId="6" fillId="0" borderId="0" xfId="0" applyFont="1" applyAlignment="1">
      <alignment wrapText="1"/>
    </xf>
    <xf numFmtId="0" fontId="4" fillId="0" borderId="0" xfId="4" applyFill="1" applyAlignment="1">
      <alignment wrapText="1"/>
    </xf>
    <xf numFmtId="0" fontId="13" fillId="0" borderId="3" xfId="0" applyFont="1" applyBorder="1" applyAlignment="1">
      <alignment vertical="center" wrapText="1"/>
    </xf>
    <xf numFmtId="0" fontId="10" fillId="0" borderId="4" xfId="0" applyFont="1" applyBorder="1" applyAlignment="1">
      <alignment horizontal="center"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7" xfId="0" applyFont="1" applyBorder="1" applyAlignment="1">
      <alignment vertical="center" wrapText="1"/>
    </xf>
    <xf numFmtId="0" fontId="6" fillId="0" borderId="7" xfId="0" applyFont="1" applyBorder="1" applyAlignment="1">
      <alignment wrapText="1"/>
    </xf>
    <xf numFmtId="0" fontId="10" fillId="0" borderId="9"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xf>
    <xf numFmtId="0" fontId="10" fillId="0" borderId="12" xfId="0" applyFont="1" applyBorder="1" applyAlignment="1">
      <alignment vertical="center"/>
    </xf>
    <xf numFmtId="0" fontId="10"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2" fontId="10" fillId="0" borderId="15" xfId="0" applyNumberFormat="1" applyFont="1" applyBorder="1" applyAlignment="1">
      <alignment vertical="center"/>
    </xf>
    <xf numFmtId="1" fontId="10" fillId="2" borderId="15" xfId="3" applyNumberFormat="1" applyFont="1" applyFill="1" applyBorder="1" applyAlignment="1">
      <alignment vertical="center"/>
    </xf>
    <xf numFmtId="0" fontId="10" fillId="0" borderId="15" xfId="0" applyFont="1" applyBorder="1" applyAlignment="1">
      <alignment vertical="center" wrapText="1"/>
    </xf>
    <xf numFmtId="0" fontId="6" fillId="0" borderId="14" xfId="0" applyFont="1" applyBorder="1" applyAlignment="1">
      <alignment wrapText="1"/>
    </xf>
    <xf numFmtId="0" fontId="6" fillId="0" borderId="14" xfId="0" applyFont="1" applyBorder="1"/>
    <xf numFmtId="2" fontId="10" fillId="0" borderId="15" xfId="1" applyNumberFormat="1" applyFont="1" applyBorder="1" applyAlignment="1">
      <alignment vertical="center"/>
    </xf>
    <xf numFmtId="0" fontId="10" fillId="0" borderId="17" xfId="0" applyFont="1" applyBorder="1" applyAlignment="1">
      <alignment vertical="center"/>
    </xf>
    <xf numFmtId="0" fontId="10" fillId="0" borderId="18" xfId="0" applyFont="1" applyBorder="1" applyAlignment="1">
      <alignment vertical="center"/>
    </xf>
    <xf numFmtId="0" fontId="10" fillId="0" borderId="19" xfId="0" applyFont="1" applyBorder="1" applyAlignment="1">
      <alignment vertical="center"/>
    </xf>
    <xf numFmtId="0" fontId="19" fillId="0" borderId="0" xfId="0" applyFont="1" applyAlignment="1">
      <alignment horizontal="left" vertical="center"/>
    </xf>
    <xf numFmtId="44" fontId="19" fillId="0" borderId="0" xfId="0" applyNumberFormat="1" applyFont="1" applyAlignment="1">
      <alignment horizontal="left" vertical="center"/>
    </xf>
    <xf numFmtId="0" fontId="19" fillId="0" borderId="0" xfId="0" applyFont="1" applyAlignment="1">
      <alignment vertical="center"/>
    </xf>
    <xf numFmtId="0" fontId="20" fillId="0" borderId="0" xfId="0" applyFont="1" applyAlignment="1">
      <alignment vertical="center"/>
    </xf>
    <xf numFmtId="8" fontId="19" fillId="0" borderId="0" xfId="0" applyNumberFormat="1" applyFont="1" applyAlignment="1">
      <alignment vertical="center"/>
    </xf>
    <xf numFmtId="44" fontId="19" fillId="0" borderId="0" xfId="0" applyNumberFormat="1" applyFont="1" applyAlignment="1">
      <alignment vertical="center"/>
    </xf>
    <xf numFmtId="44" fontId="19" fillId="0" borderId="0" xfId="2" applyFont="1" applyFill="1" applyBorder="1" applyAlignment="1">
      <alignment vertical="center"/>
    </xf>
    <xf numFmtId="165" fontId="19" fillId="0" borderId="0" xfId="0" applyNumberFormat="1" applyFont="1" applyAlignment="1">
      <alignment vertical="center"/>
    </xf>
    <xf numFmtId="44" fontId="24" fillId="0" borderId="0" xfId="0" applyNumberFormat="1" applyFont="1" applyAlignment="1">
      <alignment vertical="center"/>
    </xf>
    <xf numFmtId="164" fontId="19" fillId="0" borderId="0" xfId="2" applyNumberFormat="1" applyFont="1" applyFill="1" applyBorder="1" applyAlignment="1">
      <alignment vertical="center"/>
    </xf>
    <xf numFmtId="0" fontId="31" fillId="0" borderId="0" xfId="0" applyFont="1" applyAlignment="1">
      <alignment vertical="center" wrapText="1"/>
    </xf>
    <xf numFmtId="0" fontId="32" fillId="0" borderId="0" xfId="0" applyFont="1" applyAlignment="1">
      <alignment vertical="center" wrapText="1"/>
    </xf>
    <xf numFmtId="0" fontId="33" fillId="0" borderId="0" xfId="0" applyFont="1" applyAlignment="1">
      <alignment vertical="center" wrapText="1"/>
    </xf>
    <xf numFmtId="44" fontId="32" fillId="0" borderId="0" xfId="2" applyFont="1" applyBorder="1" applyAlignment="1">
      <alignment vertical="center" wrapText="1"/>
    </xf>
    <xf numFmtId="44" fontId="32" fillId="0" borderId="0" xfId="0" applyNumberFormat="1" applyFont="1" applyAlignment="1">
      <alignment vertical="center" wrapText="1"/>
    </xf>
    <xf numFmtId="44" fontId="36" fillId="0" borderId="0" xfId="0" applyNumberFormat="1" applyFont="1" applyAlignment="1">
      <alignment vertical="center" wrapText="1"/>
    </xf>
    <xf numFmtId="44" fontId="32" fillId="0" borderId="0" xfId="2" applyFont="1" applyFill="1" applyBorder="1" applyAlignment="1">
      <alignment vertical="center" wrapText="1"/>
    </xf>
    <xf numFmtId="0" fontId="29" fillId="4" borderId="28" xfId="0" applyFont="1" applyFill="1" applyBorder="1" applyAlignment="1">
      <alignment horizontal="right" vertical="center"/>
    </xf>
    <xf numFmtId="0" fontId="35" fillId="5" borderId="30" xfId="0" applyFont="1" applyFill="1" applyBorder="1" applyAlignment="1">
      <alignment vertical="center" wrapText="1"/>
    </xf>
    <xf numFmtId="0" fontId="35" fillId="5" borderId="31" xfId="0" applyFont="1" applyFill="1" applyBorder="1" applyAlignment="1">
      <alignment vertical="center" wrapText="1"/>
    </xf>
    <xf numFmtId="0" fontId="35" fillId="5" borderId="32" xfId="0" applyFont="1" applyFill="1" applyBorder="1" applyAlignment="1">
      <alignment vertical="center" wrapText="1"/>
    </xf>
    <xf numFmtId="0" fontId="22" fillId="0" borderId="32" xfId="0" applyFont="1" applyBorder="1" applyAlignment="1">
      <alignment vertical="center" wrapText="1"/>
    </xf>
    <xf numFmtId="0" fontId="29" fillId="4" borderId="28" xfId="0" applyFont="1" applyFill="1" applyBorder="1" applyAlignment="1">
      <alignment horizontal="right" vertical="center" wrapText="1"/>
    </xf>
    <xf numFmtId="2" fontId="40" fillId="0" borderId="0" xfId="0" applyNumberFormat="1" applyFont="1" applyAlignment="1">
      <alignment vertical="center" wrapText="1"/>
    </xf>
    <xf numFmtId="0" fontId="40" fillId="0" borderId="33" xfId="0" applyFont="1" applyBorder="1" applyAlignment="1">
      <alignment vertical="center" wrapText="1"/>
    </xf>
    <xf numFmtId="0" fontId="40" fillId="0" borderId="34" xfId="0" applyFont="1" applyBorder="1" applyAlignment="1">
      <alignment vertical="center" wrapText="1"/>
    </xf>
    <xf numFmtId="0" fontId="40" fillId="0" borderId="36" xfId="0" applyFont="1" applyBorder="1" applyAlignment="1">
      <alignment vertical="center" wrapText="1"/>
    </xf>
    <xf numFmtId="2" fontId="40" fillId="0" borderId="39" xfId="0" applyNumberFormat="1" applyFont="1" applyBorder="1" applyAlignment="1">
      <alignment vertical="center" wrapText="1"/>
    </xf>
    <xf numFmtId="0" fontId="19" fillId="0" borderId="30" xfId="0" applyFont="1" applyBorder="1" applyAlignment="1">
      <alignment vertical="center"/>
    </xf>
    <xf numFmtId="2" fontId="19" fillId="0" borderId="30" xfId="0" applyNumberFormat="1" applyFont="1" applyBorder="1" applyAlignment="1">
      <alignment vertical="center"/>
    </xf>
    <xf numFmtId="44" fontId="19" fillId="0" borderId="30" xfId="2" applyFont="1" applyFill="1" applyBorder="1" applyAlignment="1">
      <alignment vertical="center"/>
    </xf>
    <xf numFmtId="8" fontId="19" fillId="0" borderId="30" xfId="0" applyNumberFormat="1" applyFont="1" applyBorder="1" applyAlignment="1">
      <alignment vertical="center"/>
    </xf>
    <xf numFmtId="0" fontId="19" fillId="0" borderId="31" xfId="0" applyFont="1" applyBorder="1" applyAlignment="1">
      <alignment vertical="center"/>
    </xf>
    <xf numFmtId="2" fontId="19" fillId="0" borderId="31" xfId="0" applyNumberFormat="1" applyFont="1" applyBorder="1" applyAlignment="1">
      <alignment vertical="center"/>
    </xf>
    <xf numFmtId="44" fontId="19" fillId="0" borderId="31" xfId="2" applyFont="1" applyFill="1" applyBorder="1" applyAlignment="1">
      <alignment vertical="center"/>
    </xf>
    <xf numFmtId="44" fontId="19" fillId="0" borderId="31" xfId="0" applyNumberFormat="1" applyFont="1" applyBorder="1" applyAlignment="1">
      <alignment vertical="center"/>
    </xf>
    <xf numFmtId="0" fontId="19" fillId="0" borderId="32" xfId="0" applyFont="1" applyBorder="1" applyAlignment="1">
      <alignment vertical="center"/>
    </xf>
    <xf numFmtId="2" fontId="19" fillId="0" borderId="32" xfId="0" applyNumberFormat="1" applyFont="1" applyBorder="1" applyAlignment="1">
      <alignment vertical="center"/>
    </xf>
    <xf numFmtId="44" fontId="19" fillId="0" borderId="32" xfId="2" applyFont="1" applyFill="1" applyBorder="1" applyAlignment="1">
      <alignment vertical="center"/>
    </xf>
    <xf numFmtId="1" fontId="19" fillId="0" borderId="30" xfId="0" applyNumberFormat="1" applyFont="1" applyBorder="1" applyAlignment="1">
      <alignment vertical="center"/>
    </xf>
    <xf numFmtId="164" fontId="19" fillId="0" borderId="32" xfId="2" applyNumberFormat="1" applyFont="1" applyFill="1" applyBorder="1" applyAlignment="1">
      <alignment vertical="center"/>
    </xf>
    <xf numFmtId="165" fontId="19" fillId="0" borderId="32" xfId="0" applyNumberFormat="1" applyFont="1" applyBorder="1" applyAlignment="1">
      <alignment vertical="center"/>
    </xf>
    <xf numFmtId="8" fontId="13" fillId="0" borderId="29" xfId="0" applyNumberFormat="1" applyFont="1" applyBorder="1" applyAlignment="1">
      <alignment vertical="center"/>
    </xf>
    <xf numFmtId="0" fontId="23" fillId="0" borderId="32" xfId="0" applyFont="1" applyBorder="1" applyAlignment="1">
      <alignment horizontal="left" vertical="center" wrapText="1"/>
    </xf>
    <xf numFmtId="44" fontId="13" fillId="0" borderId="29" xfId="0" applyNumberFormat="1" applyFont="1" applyBorder="1" applyAlignment="1">
      <alignment vertical="center"/>
    </xf>
    <xf numFmtId="8" fontId="30" fillId="0" borderId="29" xfId="0" applyNumberFormat="1" applyFont="1" applyBorder="1" applyAlignment="1">
      <alignment vertical="center"/>
    </xf>
    <xf numFmtId="8" fontId="13" fillId="0" borderId="29" xfId="0" applyNumberFormat="1" applyFont="1" applyBorder="1" applyAlignment="1">
      <alignment vertical="center" wrapText="1"/>
    </xf>
    <xf numFmtId="44" fontId="19" fillId="0" borderId="31" xfId="2" applyFont="1" applyFill="1" applyBorder="1" applyAlignment="1">
      <alignment vertical="center" wrapText="1"/>
    </xf>
    <xf numFmtId="8" fontId="32" fillId="0" borderId="0" xfId="0" applyNumberFormat="1" applyFont="1" applyAlignment="1">
      <alignment vertical="center" wrapText="1"/>
    </xf>
    <xf numFmtId="0" fontId="32" fillId="0" borderId="35" xfId="0" applyFont="1" applyBorder="1" applyAlignment="1">
      <alignment vertical="center" wrapText="1"/>
    </xf>
    <xf numFmtId="0" fontId="26" fillId="0" borderId="36" xfId="0" applyFont="1" applyBorder="1" applyAlignment="1">
      <alignment horizontal="left" vertical="center" wrapText="1"/>
    </xf>
    <xf numFmtId="0" fontId="32" fillId="0" borderId="37" xfId="0" applyFont="1" applyBorder="1" applyAlignment="1">
      <alignment vertical="center" wrapText="1"/>
    </xf>
    <xf numFmtId="0" fontId="32" fillId="0" borderId="36" xfId="0" applyFont="1" applyBorder="1" applyAlignment="1">
      <alignment vertical="center" wrapText="1"/>
    </xf>
    <xf numFmtId="0" fontId="34" fillId="0" borderId="37" xfId="0" applyFont="1" applyBorder="1" applyAlignment="1">
      <alignment horizontal="right" vertical="center" wrapText="1"/>
    </xf>
    <xf numFmtId="8" fontId="32" fillId="0" borderId="37" xfId="0" applyNumberFormat="1" applyFont="1" applyBorder="1" applyAlignment="1">
      <alignment vertical="center" wrapText="1"/>
    </xf>
    <xf numFmtId="2" fontId="32" fillId="0" borderId="0" xfId="0" applyNumberFormat="1" applyFont="1" applyAlignment="1">
      <alignment vertical="center" wrapText="1"/>
    </xf>
    <xf numFmtId="8" fontId="34" fillId="0" borderId="37" xfId="0" applyNumberFormat="1" applyFont="1" applyBorder="1" applyAlignment="1">
      <alignment horizontal="right" vertical="center" wrapText="1"/>
    </xf>
    <xf numFmtId="1" fontId="32" fillId="0" borderId="0" xfId="0" applyNumberFormat="1" applyFont="1" applyAlignment="1">
      <alignment vertical="center" wrapText="1"/>
    </xf>
    <xf numFmtId="165" fontId="32" fillId="0" borderId="37" xfId="0" applyNumberFormat="1" applyFont="1" applyBorder="1" applyAlignment="1">
      <alignment vertical="center" wrapText="1"/>
    </xf>
    <xf numFmtId="8" fontId="13" fillId="0" borderId="37" xfId="0" applyNumberFormat="1" applyFont="1" applyBorder="1" applyAlignment="1">
      <alignment vertical="center" wrapText="1"/>
    </xf>
    <xf numFmtId="0" fontId="32" fillId="0" borderId="38" xfId="0" applyFont="1" applyBorder="1" applyAlignment="1">
      <alignment vertical="center" wrapText="1"/>
    </xf>
    <xf numFmtId="0" fontId="32" fillId="0" borderId="39" xfId="0" applyFont="1" applyBorder="1" applyAlignment="1">
      <alignment vertical="center" wrapText="1"/>
    </xf>
    <xf numFmtId="8" fontId="33" fillId="0" borderId="44" xfId="0" applyNumberFormat="1" applyFont="1" applyBorder="1" applyAlignment="1">
      <alignment vertical="center" wrapText="1"/>
    </xf>
    <xf numFmtId="8" fontId="33" fillId="0" borderId="40" xfId="0" applyNumberFormat="1" applyFont="1" applyBorder="1" applyAlignment="1">
      <alignment vertical="center" wrapText="1"/>
    </xf>
    <xf numFmtId="0" fontId="32" fillId="0" borderId="33" xfId="0" applyFont="1" applyBorder="1" applyAlignment="1">
      <alignment vertical="center" wrapText="1"/>
    </xf>
    <xf numFmtId="0" fontId="32" fillId="0" borderId="34" xfId="0" applyFont="1" applyBorder="1" applyAlignment="1">
      <alignment vertical="center" wrapText="1"/>
    </xf>
    <xf numFmtId="0" fontId="26" fillId="0" borderId="0" xfId="0" applyFont="1" applyAlignment="1">
      <alignment horizontal="left" vertical="center" wrapText="1"/>
    </xf>
    <xf numFmtId="0" fontId="34" fillId="0" borderId="36" xfId="0" applyFont="1" applyBorder="1" applyAlignment="1">
      <alignment horizontal="right" vertical="center" wrapText="1"/>
    </xf>
    <xf numFmtId="0" fontId="34" fillId="0" borderId="0" xfId="0" applyFont="1" applyAlignment="1">
      <alignment vertical="center" wrapText="1"/>
    </xf>
    <xf numFmtId="8" fontId="32" fillId="0" borderId="36" xfId="0" applyNumberFormat="1" applyFont="1" applyBorder="1" applyAlignment="1">
      <alignment vertical="center" wrapText="1"/>
    </xf>
    <xf numFmtId="0" fontId="31" fillId="5" borderId="0" xfId="0" applyFont="1" applyFill="1" applyAlignment="1">
      <alignment vertical="center" wrapText="1"/>
    </xf>
    <xf numFmtId="8" fontId="34" fillId="0" borderId="36" xfId="0" applyNumberFormat="1" applyFont="1" applyBorder="1" applyAlignment="1">
      <alignment horizontal="right" vertical="center" wrapText="1"/>
    </xf>
    <xf numFmtId="165" fontId="32" fillId="0" borderId="36" xfId="0" applyNumberFormat="1" applyFont="1" applyBorder="1" applyAlignment="1">
      <alignment vertical="center" wrapText="1"/>
    </xf>
    <xf numFmtId="8" fontId="13" fillId="0" borderId="36" xfId="0" applyNumberFormat="1" applyFont="1" applyBorder="1" applyAlignment="1">
      <alignment vertical="center" wrapText="1"/>
    </xf>
    <xf numFmtId="8" fontId="35" fillId="0" borderId="0" xfId="0" applyNumberFormat="1" applyFont="1" applyAlignment="1">
      <alignment vertical="center" wrapText="1"/>
    </xf>
    <xf numFmtId="8" fontId="13" fillId="0" borderId="45" xfId="0" applyNumberFormat="1" applyFont="1" applyBorder="1" applyAlignment="1">
      <alignment vertical="center"/>
    </xf>
    <xf numFmtId="8" fontId="33" fillId="0" borderId="38" xfId="0" applyNumberFormat="1" applyFont="1" applyBorder="1" applyAlignment="1">
      <alignment vertical="center" wrapText="1"/>
    </xf>
    <xf numFmtId="0" fontId="32" fillId="0" borderId="40" xfId="0" applyFont="1" applyBorder="1" applyAlignment="1">
      <alignment vertical="center" wrapText="1"/>
    </xf>
    <xf numFmtId="8" fontId="33" fillId="0" borderId="34" xfId="0" applyNumberFormat="1" applyFont="1" applyBorder="1" applyAlignment="1">
      <alignment vertical="center" wrapText="1"/>
    </xf>
    <xf numFmtId="8" fontId="33" fillId="0" borderId="35" xfId="0" applyNumberFormat="1" applyFont="1" applyBorder="1" applyAlignment="1">
      <alignment vertical="center" wrapText="1"/>
    </xf>
    <xf numFmtId="0" fontId="33" fillId="0" borderId="36" xfId="0" applyFont="1" applyBorder="1" applyAlignment="1">
      <alignment vertical="center" wrapText="1"/>
    </xf>
    <xf numFmtId="44" fontId="32" fillId="0" borderId="37" xfId="2" applyFont="1" applyFill="1" applyBorder="1" applyAlignment="1">
      <alignment vertical="center" wrapText="1"/>
    </xf>
    <xf numFmtId="2" fontId="32" fillId="0" borderId="37" xfId="0" applyNumberFormat="1" applyFont="1" applyBorder="1" applyAlignment="1">
      <alignment vertical="center" wrapText="1"/>
    </xf>
    <xf numFmtId="8" fontId="33" fillId="0" borderId="33" xfId="0" applyNumberFormat="1" applyFont="1" applyBorder="1" applyAlignment="1">
      <alignment vertical="center" wrapText="1"/>
    </xf>
    <xf numFmtId="44" fontId="32" fillId="0" borderId="36" xfId="2" applyFont="1" applyFill="1" applyBorder="1" applyAlignment="1">
      <alignment vertical="center" wrapText="1"/>
    </xf>
    <xf numFmtId="2" fontId="32" fillId="0" borderId="36" xfId="0" applyNumberFormat="1" applyFont="1" applyBorder="1" applyAlignment="1">
      <alignment vertical="center" wrapText="1"/>
    </xf>
    <xf numFmtId="0" fontId="19" fillId="0" borderId="33" xfId="0" applyFont="1" applyBorder="1" applyAlignment="1">
      <alignment vertical="center"/>
    </xf>
    <xf numFmtId="0" fontId="19" fillId="0" borderId="34" xfId="0" applyFont="1" applyBorder="1" applyAlignment="1">
      <alignment vertical="center"/>
    </xf>
    <xf numFmtId="0" fontId="19" fillId="0" borderId="35" xfId="0" applyFont="1" applyBorder="1" applyAlignment="1">
      <alignment vertical="center"/>
    </xf>
    <xf numFmtId="0" fontId="19" fillId="0" borderId="37" xfId="0" applyFont="1" applyBorder="1" applyAlignment="1">
      <alignment vertical="center"/>
    </xf>
    <xf numFmtId="0" fontId="26" fillId="0" borderId="36" xfId="0" applyFont="1" applyBorder="1" applyAlignment="1">
      <alignment vertical="center"/>
    </xf>
    <xf numFmtId="0" fontId="19" fillId="0" borderId="36" xfId="0" applyFont="1" applyBorder="1" applyAlignment="1">
      <alignment vertical="center"/>
    </xf>
    <xf numFmtId="0" fontId="35" fillId="5" borderId="0" xfId="0" applyFont="1" applyFill="1" applyAlignment="1">
      <alignment horizontal="right" vertical="center"/>
    </xf>
    <xf numFmtId="0" fontId="27" fillId="0" borderId="37" xfId="0" applyFont="1" applyBorder="1" applyAlignment="1">
      <alignment horizontal="right" vertical="center"/>
    </xf>
    <xf numFmtId="0" fontId="35" fillId="5" borderId="41" xfId="0" applyFont="1" applyFill="1" applyBorder="1" applyAlignment="1">
      <alignment vertical="center"/>
    </xf>
    <xf numFmtId="8" fontId="19" fillId="0" borderId="37" xfId="0" applyNumberFormat="1" applyFont="1" applyBorder="1" applyAlignment="1">
      <alignment vertical="center"/>
    </xf>
    <xf numFmtId="0" fontId="35" fillId="5" borderId="42" xfId="0" applyFont="1" applyFill="1" applyBorder="1" applyAlignment="1">
      <alignment vertical="center"/>
    </xf>
    <xf numFmtId="44" fontId="19" fillId="0" borderId="37" xfId="0" applyNumberFormat="1" applyFont="1" applyBorder="1" applyAlignment="1">
      <alignment vertical="center"/>
    </xf>
    <xf numFmtId="0" fontId="35" fillId="5" borderId="43" xfId="0" applyFont="1" applyFill="1" applyBorder="1" applyAlignment="1">
      <alignment vertical="center"/>
    </xf>
    <xf numFmtId="44" fontId="19" fillId="0" borderId="37" xfId="2" applyFont="1" applyFill="1" applyBorder="1" applyAlignment="1">
      <alignment vertical="center"/>
    </xf>
    <xf numFmtId="0" fontId="38" fillId="0" borderId="36" xfId="0" applyFont="1" applyBorder="1" applyAlignment="1">
      <alignment vertical="center"/>
    </xf>
    <xf numFmtId="0" fontId="35" fillId="0" borderId="36" xfId="0" applyFont="1" applyBorder="1" applyAlignment="1">
      <alignment vertical="center"/>
    </xf>
    <xf numFmtId="0" fontId="35" fillId="5" borderId="36" xfId="0" applyFont="1" applyFill="1" applyBorder="1" applyAlignment="1">
      <alignment vertical="center"/>
    </xf>
    <xf numFmtId="165" fontId="19" fillId="0" borderId="37" xfId="0" applyNumberFormat="1" applyFont="1" applyBorder="1" applyAlignment="1">
      <alignment vertical="center"/>
    </xf>
    <xf numFmtId="8" fontId="13" fillId="0" borderId="37" xfId="0" applyNumberFormat="1" applyFont="1" applyBorder="1" applyAlignment="1">
      <alignment vertical="center"/>
    </xf>
    <xf numFmtId="0" fontId="19" fillId="0" borderId="38" xfId="0" applyFont="1" applyBorder="1" applyAlignment="1">
      <alignment vertical="center"/>
    </xf>
    <xf numFmtId="0" fontId="19" fillId="0" borderId="39" xfId="0" applyFont="1" applyBorder="1" applyAlignment="1">
      <alignment vertical="center"/>
    </xf>
    <xf numFmtId="0" fontId="19" fillId="0" borderId="40" xfId="0" applyFont="1" applyBorder="1" applyAlignment="1">
      <alignment vertical="center"/>
    </xf>
    <xf numFmtId="0" fontId="26" fillId="0" borderId="0" xfId="0" applyFont="1" applyAlignment="1">
      <alignment horizontal="left" vertical="center"/>
    </xf>
    <xf numFmtId="0" fontId="27" fillId="0" borderId="36" xfId="0" applyFont="1" applyBorder="1" applyAlignment="1">
      <alignment horizontal="right" vertical="center"/>
    </xf>
    <xf numFmtId="8" fontId="19" fillId="0" borderId="36" xfId="0" applyNumberFormat="1" applyFont="1" applyBorder="1" applyAlignment="1">
      <alignment vertical="center"/>
    </xf>
    <xf numFmtId="0" fontId="35" fillId="5" borderId="0" xfId="0" applyFont="1" applyFill="1" applyAlignment="1">
      <alignment vertical="center"/>
    </xf>
    <xf numFmtId="44" fontId="19" fillId="0" borderId="36" xfId="0" applyNumberFormat="1" applyFont="1" applyBorder="1" applyAlignment="1">
      <alignment vertical="center"/>
    </xf>
    <xf numFmtId="44" fontId="19" fillId="0" borderId="36" xfId="2" applyFont="1" applyFill="1" applyBorder="1" applyAlignment="1">
      <alignment vertical="center"/>
    </xf>
    <xf numFmtId="0" fontId="19" fillId="0" borderId="0" xfId="0" applyFont="1" applyAlignment="1">
      <alignment horizontal="center" vertical="center"/>
    </xf>
    <xf numFmtId="0" fontId="21" fillId="0" borderId="0" xfId="0" applyFont="1" applyAlignment="1">
      <alignment vertical="center"/>
    </xf>
    <xf numFmtId="1" fontId="19" fillId="0" borderId="0" xfId="0" applyNumberFormat="1" applyFont="1" applyAlignment="1">
      <alignment vertical="center"/>
    </xf>
    <xf numFmtId="165" fontId="19" fillId="0" borderId="36" xfId="0" applyNumberFormat="1" applyFont="1" applyBorder="1" applyAlignment="1">
      <alignment vertical="center"/>
    </xf>
    <xf numFmtId="8" fontId="13" fillId="0" borderId="36" xfId="0" applyNumberFormat="1" applyFont="1" applyBorder="1" applyAlignment="1">
      <alignment vertical="center"/>
    </xf>
    <xf numFmtId="8" fontId="20" fillId="0" borderId="34" xfId="0" applyNumberFormat="1" applyFont="1" applyBorder="1" applyAlignment="1">
      <alignment vertical="center"/>
    </xf>
    <xf numFmtId="8" fontId="20" fillId="0" borderId="35" xfId="0" applyNumberFormat="1" applyFont="1" applyBorder="1" applyAlignment="1">
      <alignment vertical="center"/>
    </xf>
    <xf numFmtId="0" fontId="20" fillId="0" borderId="36" xfId="0" applyFont="1" applyBorder="1" applyAlignment="1">
      <alignment horizontal="left" vertical="center"/>
    </xf>
    <xf numFmtId="0" fontId="35" fillId="5" borderId="0" xfId="0" applyFont="1" applyFill="1" applyAlignment="1">
      <alignment horizontal="right" wrapText="1"/>
    </xf>
    <xf numFmtId="0" fontId="35" fillId="5" borderId="0" xfId="0" applyFont="1" applyFill="1" applyAlignment="1">
      <alignment horizontal="right"/>
    </xf>
    <xf numFmtId="0" fontId="35" fillId="5" borderId="41" xfId="0" applyFont="1" applyFill="1" applyBorder="1" applyAlignment="1">
      <alignment vertical="center" wrapText="1"/>
    </xf>
    <xf numFmtId="0" fontId="35" fillId="5" borderId="42" xfId="0" applyFont="1" applyFill="1" applyBorder="1" applyAlignment="1">
      <alignment vertical="center" wrapText="1"/>
    </xf>
    <xf numFmtId="0" fontId="35" fillId="5" borderId="43" xfId="0" applyFont="1" applyFill="1" applyBorder="1" applyAlignment="1">
      <alignment vertical="center" wrapText="1"/>
    </xf>
    <xf numFmtId="0" fontId="19" fillId="0" borderId="36" xfId="0" applyFont="1" applyBorder="1" applyAlignment="1">
      <alignment horizontal="left" vertical="center"/>
    </xf>
    <xf numFmtId="0" fontId="27" fillId="0" borderId="37" xfId="0" applyFont="1" applyBorder="1" applyAlignment="1">
      <alignment horizontal="right" vertical="center" wrapText="1"/>
    </xf>
    <xf numFmtId="0" fontId="35" fillId="5" borderId="36" xfId="0" applyFont="1" applyFill="1" applyBorder="1" applyAlignment="1">
      <alignment vertical="center" wrapText="1"/>
    </xf>
    <xf numFmtId="1" fontId="19" fillId="0" borderId="0" xfId="0" applyNumberFormat="1" applyFont="1" applyAlignment="1">
      <alignment horizontal="center" vertical="center"/>
    </xf>
    <xf numFmtId="0" fontId="19" fillId="0" borderId="37" xfId="0" applyFont="1" applyBorder="1" applyAlignment="1">
      <alignment horizontal="left" vertical="center"/>
    </xf>
    <xf numFmtId="0" fontId="35" fillId="5" borderId="0" xfId="0" applyFont="1" applyFill="1" applyAlignment="1">
      <alignment horizontal="right" vertical="center" wrapText="1"/>
    </xf>
    <xf numFmtId="2" fontId="19" fillId="0" borderId="0" xfId="0" applyNumberFormat="1" applyFont="1" applyAlignment="1">
      <alignment vertical="center"/>
    </xf>
    <xf numFmtId="44" fontId="13" fillId="0" borderId="37" xfId="0" applyNumberFormat="1" applyFont="1" applyBorder="1" applyAlignment="1">
      <alignment vertical="center"/>
    </xf>
    <xf numFmtId="0" fontId="20" fillId="0" borderId="36" xfId="0" applyFont="1" applyBorder="1" applyAlignment="1">
      <alignment vertical="center"/>
    </xf>
    <xf numFmtId="8" fontId="30" fillId="0" borderId="37" xfId="0" applyNumberFormat="1" applyFont="1" applyBorder="1" applyAlignment="1">
      <alignment vertical="center"/>
    </xf>
    <xf numFmtId="8" fontId="20" fillId="0" borderId="33" xfId="0" applyNumberFormat="1" applyFont="1" applyBorder="1" applyAlignment="1">
      <alignment vertical="center"/>
    </xf>
    <xf numFmtId="0" fontId="35" fillId="5" borderId="37" xfId="0" applyFont="1" applyFill="1" applyBorder="1" applyAlignment="1">
      <alignment horizontal="right" wrapText="1"/>
    </xf>
    <xf numFmtId="44" fontId="19" fillId="0" borderId="46" xfId="0" applyNumberFormat="1" applyFont="1" applyBorder="1" applyAlignment="1">
      <alignment vertical="center"/>
    </xf>
    <xf numFmtId="44" fontId="20" fillId="0" borderId="48" xfId="2" applyFont="1" applyFill="1" applyBorder="1" applyAlignment="1">
      <alignment vertical="center"/>
    </xf>
    <xf numFmtId="0" fontId="27" fillId="0" borderId="36" xfId="0" applyFont="1" applyBorder="1" applyAlignment="1">
      <alignment horizontal="right" vertical="center" wrapText="1"/>
    </xf>
    <xf numFmtId="0" fontId="35" fillId="5" borderId="0" xfId="0" applyFont="1" applyFill="1" applyAlignment="1">
      <alignment vertical="center" wrapText="1"/>
    </xf>
    <xf numFmtId="44" fontId="19" fillId="0" borderId="37" xfId="2" applyFont="1" applyFill="1" applyBorder="1" applyAlignment="1">
      <alignment horizontal="center" vertical="center"/>
    </xf>
    <xf numFmtId="0" fontId="35" fillId="5" borderId="37" xfId="0" applyFont="1" applyFill="1" applyBorder="1" applyAlignment="1">
      <alignment horizontal="right" vertical="center" wrapText="1"/>
    </xf>
    <xf numFmtId="44" fontId="13" fillId="0" borderId="36" xfId="0" applyNumberFormat="1" applyFont="1" applyBorder="1" applyAlignment="1">
      <alignment vertical="center"/>
    </xf>
    <xf numFmtId="44" fontId="19" fillId="0" borderId="47" xfId="0" applyNumberFormat="1" applyFont="1" applyBorder="1" applyAlignment="1">
      <alignment vertical="center"/>
    </xf>
    <xf numFmtId="44" fontId="19" fillId="0" borderId="48" xfId="0" applyNumberFormat="1" applyFont="1" applyBorder="1" applyAlignment="1">
      <alignment vertical="center"/>
    </xf>
    <xf numFmtId="8" fontId="30" fillId="0" borderId="36" xfId="0" applyNumberFormat="1" applyFont="1" applyBorder="1" applyAlignment="1">
      <alignment vertical="center"/>
    </xf>
    <xf numFmtId="0" fontId="25" fillId="0" borderId="0" xfId="4" applyFont="1" applyBorder="1" applyAlignment="1">
      <alignment vertical="center"/>
    </xf>
    <xf numFmtId="8" fontId="28" fillId="0" borderId="56" xfId="0" applyNumberFormat="1" applyFont="1" applyBorder="1" applyAlignment="1">
      <alignment vertical="center" wrapText="1"/>
    </xf>
    <xf numFmtId="0" fontId="35" fillId="5" borderId="0" xfId="0" applyFont="1" applyFill="1" applyAlignment="1">
      <alignment horizontal="center" vertical="center" wrapText="1"/>
    </xf>
    <xf numFmtId="0" fontId="35" fillId="5" borderId="0" xfId="0" applyFont="1" applyFill="1" applyAlignment="1">
      <alignment horizontal="center" wrapText="1"/>
    </xf>
    <xf numFmtId="0" fontId="19" fillId="0" borderId="30" xfId="0" applyFont="1" applyBorder="1" applyAlignment="1">
      <alignment horizontal="center" vertical="center"/>
    </xf>
    <xf numFmtId="44" fontId="19" fillId="0" borderId="30" xfId="0" applyNumberFormat="1" applyFont="1" applyBorder="1" applyAlignment="1">
      <alignment horizontal="center" vertical="center"/>
    </xf>
    <xf numFmtId="1" fontId="19" fillId="0" borderId="31" xfId="0" applyNumberFormat="1" applyFont="1" applyBorder="1" applyAlignment="1">
      <alignment horizontal="center" vertical="center"/>
    </xf>
    <xf numFmtId="44" fontId="19" fillId="0" borderId="31" xfId="0" applyNumberFormat="1" applyFont="1" applyBorder="1" applyAlignment="1">
      <alignment horizontal="center" vertical="center"/>
    </xf>
    <xf numFmtId="0" fontId="19" fillId="0" borderId="32" xfId="0" applyFont="1" applyBorder="1" applyAlignment="1">
      <alignment horizontal="center" vertical="center"/>
    </xf>
    <xf numFmtId="44" fontId="19" fillId="0" borderId="32" xfId="0" applyNumberFormat="1" applyFont="1" applyBorder="1" applyAlignment="1">
      <alignment horizontal="center" vertical="center"/>
    </xf>
    <xf numFmtId="2" fontId="19" fillId="0" borderId="0" xfId="0" applyNumberFormat="1" applyFont="1" applyAlignment="1">
      <alignment horizontal="right" vertical="center"/>
    </xf>
    <xf numFmtId="44" fontId="19" fillId="0" borderId="0" xfId="2" applyFont="1" applyAlignment="1">
      <alignment horizontal="center" vertical="center"/>
    </xf>
    <xf numFmtId="44" fontId="19" fillId="0" borderId="0" xfId="2" applyFont="1" applyAlignment="1">
      <alignment horizontal="right" vertical="center"/>
    </xf>
    <xf numFmtId="1" fontId="19" fillId="0" borderId="30" xfId="0" applyNumberFormat="1" applyFont="1" applyBorder="1" applyAlignment="1">
      <alignment horizontal="center" vertical="center"/>
    </xf>
    <xf numFmtId="0" fontId="19" fillId="0" borderId="31" xfId="0" applyFont="1" applyBorder="1" applyAlignment="1">
      <alignment horizontal="center" vertical="center"/>
    </xf>
    <xf numFmtId="1" fontId="19" fillId="0" borderId="32" xfId="0" applyNumberFormat="1" applyFont="1" applyBorder="1" applyAlignment="1">
      <alignment horizontal="center" vertical="center"/>
    </xf>
    <xf numFmtId="44" fontId="19" fillId="0" borderId="0" xfId="2" applyFont="1" applyFill="1" applyBorder="1" applyAlignment="1">
      <alignment horizontal="right" vertical="center"/>
    </xf>
    <xf numFmtId="0" fontId="38" fillId="0" borderId="0" xfId="0" applyFont="1" applyAlignment="1">
      <alignment vertical="center"/>
    </xf>
    <xf numFmtId="0" fontId="39" fillId="0" borderId="0" xfId="0" applyFont="1" applyAlignment="1">
      <alignment vertical="center" wrapText="1"/>
    </xf>
    <xf numFmtId="0" fontId="39" fillId="0" borderId="37" xfId="0" applyFont="1" applyBorder="1" applyAlignment="1">
      <alignment vertical="center" wrapText="1"/>
    </xf>
    <xf numFmtId="0" fontId="39" fillId="0" borderId="36" xfId="0" applyFont="1" applyBorder="1" applyAlignment="1">
      <alignment vertical="center" wrapText="1"/>
    </xf>
    <xf numFmtId="8" fontId="30" fillId="0" borderId="45" xfId="0" applyNumberFormat="1" applyFont="1" applyBorder="1" applyAlignment="1">
      <alignment vertical="center"/>
    </xf>
    <xf numFmtId="44" fontId="13" fillId="0" borderId="45" xfId="0" applyNumberFormat="1" applyFont="1" applyBorder="1" applyAlignment="1">
      <alignment vertical="center" wrapText="1"/>
    </xf>
    <xf numFmtId="44" fontId="13" fillId="0" borderId="29" xfId="0" applyNumberFormat="1" applyFont="1" applyBorder="1" applyAlignment="1">
      <alignment vertical="center" wrapText="1"/>
    </xf>
    <xf numFmtId="0" fontId="32" fillId="0" borderId="0" xfId="0" applyFont="1" applyAlignment="1">
      <alignment vertical="center"/>
    </xf>
    <xf numFmtId="0" fontId="19" fillId="0" borderId="36" xfId="0" applyFont="1" applyBorder="1" applyAlignment="1">
      <alignment vertical="center" wrapText="1"/>
    </xf>
    <xf numFmtId="2" fontId="19" fillId="0" borderId="30" xfId="0" applyNumberFormat="1" applyFont="1" applyBorder="1" applyAlignment="1">
      <alignment vertical="center" wrapText="1"/>
    </xf>
    <xf numFmtId="44" fontId="19" fillId="0" borderId="30" xfId="2" applyFont="1" applyFill="1" applyBorder="1" applyAlignment="1">
      <alignment vertical="center" wrapText="1"/>
    </xf>
    <xf numFmtId="8" fontId="19" fillId="0" borderId="30" xfId="0" applyNumberFormat="1" applyFont="1" applyBorder="1" applyAlignment="1">
      <alignment vertical="center" wrapText="1"/>
    </xf>
    <xf numFmtId="2" fontId="19" fillId="0" borderId="31" xfId="0" applyNumberFormat="1" applyFont="1" applyBorder="1" applyAlignment="1">
      <alignment vertical="center" wrapText="1"/>
    </xf>
    <xf numFmtId="8" fontId="19" fillId="0" borderId="31" xfId="0" applyNumberFormat="1" applyFont="1" applyBorder="1" applyAlignment="1">
      <alignment vertical="center" wrapText="1"/>
    </xf>
    <xf numFmtId="2" fontId="19" fillId="0" borderId="32" xfId="0" applyNumberFormat="1" applyFont="1" applyBorder="1" applyAlignment="1">
      <alignment vertical="center" wrapText="1"/>
    </xf>
    <xf numFmtId="44" fontId="19" fillId="0" borderId="32" xfId="2" applyFont="1" applyFill="1" applyBorder="1" applyAlignment="1">
      <alignment vertical="center" wrapText="1"/>
    </xf>
    <xf numFmtId="8" fontId="19" fillId="0" borderId="32" xfId="0" applyNumberFormat="1" applyFont="1" applyBorder="1" applyAlignment="1">
      <alignment vertical="center" wrapText="1"/>
    </xf>
    <xf numFmtId="2" fontId="35" fillId="5" borderId="0" xfId="0" applyNumberFormat="1" applyFont="1" applyFill="1" applyAlignment="1">
      <alignment horizontal="right" vertical="center" wrapText="1"/>
    </xf>
    <xf numFmtId="44" fontId="35" fillId="5" borderId="0" xfId="2" applyFont="1" applyFill="1" applyBorder="1" applyAlignment="1">
      <alignment horizontal="right" vertical="center" wrapText="1"/>
    </xf>
    <xf numFmtId="8" fontId="35" fillId="5" borderId="0" xfId="0" applyNumberFormat="1" applyFont="1" applyFill="1" applyAlignment="1">
      <alignment horizontal="right" vertical="center" wrapText="1"/>
    </xf>
    <xf numFmtId="0" fontId="19" fillId="0" borderId="0" xfId="0" applyFont="1" applyAlignment="1">
      <alignment horizontal="right" vertical="center" wrapText="1"/>
    </xf>
    <xf numFmtId="1" fontId="19" fillId="0" borderId="0" xfId="0" applyNumberFormat="1" applyFont="1" applyAlignment="1">
      <alignment vertical="center" wrapText="1"/>
    </xf>
    <xf numFmtId="2" fontId="19" fillId="0" borderId="0" xfId="0" applyNumberFormat="1" applyFont="1" applyAlignment="1">
      <alignment vertical="center" wrapText="1"/>
    </xf>
    <xf numFmtId="44" fontId="19" fillId="0" borderId="0" xfId="2" applyFont="1" applyFill="1" applyBorder="1" applyAlignment="1">
      <alignment vertical="center" wrapText="1"/>
    </xf>
    <xf numFmtId="8" fontId="19" fillId="0" borderId="0" xfId="0" applyNumberFormat="1" applyFont="1" applyAlignment="1">
      <alignment vertical="center" wrapText="1"/>
    </xf>
    <xf numFmtId="164" fontId="19" fillId="0" borderId="0" xfId="2" applyNumberFormat="1" applyFont="1" applyFill="1" applyBorder="1" applyAlignment="1">
      <alignment vertical="center" wrapText="1"/>
    </xf>
    <xf numFmtId="165" fontId="19" fillId="0" borderId="0" xfId="0" applyNumberFormat="1" applyFont="1" applyAlignment="1">
      <alignment vertical="center" wrapText="1"/>
    </xf>
    <xf numFmtId="0" fontId="19" fillId="0" borderId="0" xfId="0" applyFont="1" applyAlignment="1">
      <alignment vertical="center" wrapText="1"/>
    </xf>
    <xf numFmtId="0" fontId="27" fillId="0" borderId="0" xfId="0" applyFont="1" applyAlignment="1">
      <alignment vertical="center" wrapText="1"/>
    </xf>
    <xf numFmtId="1" fontId="19" fillId="0" borderId="30" xfId="0" applyNumberFormat="1" applyFont="1" applyBorder="1" applyAlignment="1">
      <alignment vertical="center" wrapText="1"/>
    </xf>
    <xf numFmtId="44" fontId="19" fillId="0" borderId="46" xfId="0" applyNumberFormat="1" applyFont="1" applyBorder="1" applyAlignment="1">
      <alignment vertical="center" wrapText="1"/>
    </xf>
    <xf numFmtId="1" fontId="19" fillId="0" borderId="31" xfId="0" applyNumberFormat="1" applyFont="1" applyBorder="1" applyAlignment="1">
      <alignment vertical="center" wrapText="1"/>
    </xf>
    <xf numFmtId="1" fontId="19" fillId="0" borderId="32" xfId="0" applyNumberFormat="1" applyFont="1" applyBorder="1" applyAlignment="1">
      <alignment vertical="center" wrapText="1"/>
    </xf>
    <xf numFmtId="0" fontId="19" fillId="0" borderId="37" xfId="0" applyFont="1" applyBorder="1" applyAlignment="1">
      <alignment vertical="center" wrapText="1"/>
    </xf>
    <xf numFmtId="44" fontId="19" fillId="0" borderId="30" xfId="0" applyNumberFormat="1" applyFont="1" applyBorder="1" applyAlignment="1">
      <alignment vertical="center" wrapText="1"/>
    </xf>
    <xf numFmtId="44" fontId="19" fillId="0" borderId="31" xfId="0" applyNumberFormat="1" applyFont="1" applyBorder="1" applyAlignment="1">
      <alignment vertical="center" wrapText="1"/>
    </xf>
    <xf numFmtId="44" fontId="19" fillId="0" borderId="32" xfId="0" applyNumberFormat="1" applyFont="1" applyBorder="1" applyAlignment="1">
      <alignment vertical="center" wrapText="1"/>
    </xf>
    <xf numFmtId="0" fontId="10" fillId="0" borderId="0" xfId="0" applyFont="1" applyAlignment="1">
      <alignment horizontal="center"/>
    </xf>
    <xf numFmtId="0" fontId="10" fillId="0" borderId="0" xfId="0" applyFont="1" applyAlignment="1">
      <alignment horizontal="right"/>
    </xf>
    <xf numFmtId="44" fontId="10" fillId="0" borderId="0" xfId="2" applyFont="1"/>
    <xf numFmtId="0" fontId="45" fillId="0" borderId="27" xfId="0" applyFont="1" applyBorder="1" applyAlignment="1">
      <alignment horizontal="center" wrapText="1"/>
    </xf>
    <xf numFmtId="0" fontId="45" fillId="0" borderId="20" xfId="0" applyFont="1" applyBorder="1" applyAlignment="1">
      <alignment horizontal="center" wrapText="1"/>
    </xf>
    <xf numFmtId="0" fontId="45" fillId="0" borderId="20" xfId="0" applyFont="1" applyBorder="1" applyAlignment="1">
      <alignment horizontal="center"/>
    </xf>
    <xf numFmtId="0" fontId="45" fillId="0" borderId="21" xfId="0" applyFont="1" applyBorder="1" applyAlignment="1">
      <alignment horizontal="center" wrapText="1"/>
    </xf>
    <xf numFmtId="0" fontId="10" fillId="0" borderId="22" xfId="0" applyFont="1" applyBorder="1" applyAlignment="1">
      <alignment horizontal="center"/>
    </xf>
    <xf numFmtId="44" fontId="10" fillId="0" borderId="0" xfId="2" applyFont="1" applyBorder="1"/>
    <xf numFmtId="44" fontId="10" fillId="0" borderId="23" xfId="2" applyFont="1" applyBorder="1"/>
    <xf numFmtId="14" fontId="10" fillId="0" borderId="0" xfId="0" applyNumberFormat="1" applyFont="1" applyAlignment="1">
      <alignment horizontal="center"/>
    </xf>
    <xf numFmtId="0" fontId="10" fillId="0" borderId="24" xfId="0" applyFont="1" applyBorder="1" applyAlignment="1">
      <alignment horizontal="center"/>
    </xf>
    <xf numFmtId="14" fontId="10" fillId="0" borderId="25" xfId="0" applyNumberFormat="1" applyFont="1" applyBorder="1" applyAlignment="1">
      <alignment horizontal="center"/>
    </xf>
    <xf numFmtId="44" fontId="10" fillId="0" borderId="25" xfId="2" applyFont="1" applyBorder="1"/>
    <xf numFmtId="44" fontId="10" fillId="0" borderId="26" xfId="2" applyFont="1" applyBorder="1"/>
    <xf numFmtId="0" fontId="13" fillId="0" borderId="0" xfId="0" applyFont="1" applyAlignment="1">
      <alignment horizontal="left"/>
    </xf>
    <xf numFmtId="0" fontId="10" fillId="0" borderId="0" xfId="0" applyFont="1" applyAlignment="1">
      <alignment horizontal="right" wrapText="1"/>
    </xf>
    <xf numFmtId="14" fontId="10" fillId="0" borderId="0" xfId="0" applyNumberFormat="1" applyFont="1"/>
    <xf numFmtId="0" fontId="20" fillId="5" borderId="32" xfId="0" applyFont="1" applyFill="1" applyBorder="1" applyAlignment="1">
      <alignment vertical="center" wrapText="1"/>
    </xf>
    <xf numFmtId="1" fontId="0" fillId="0" borderId="0" xfId="0" applyNumberFormat="1" applyAlignment="1">
      <alignment horizontal="center"/>
    </xf>
    <xf numFmtId="2" fontId="0" fillId="0" borderId="0" xfId="0" applyNumberFormat="1"/>
    <xf numFmtId="166" fontId="0" fillId="0" borderId="0" xfId="0" applyNumberFormat="1"/>
    <xf numFmtId="168" fontId="0" fillId="0" borderId="0" xfId="0" applyNumberFormat="1"/>
    <xf numFmtId="1" fontId="0" fillId="0" borderId="30" xfId="0" applyNumberFormat="1" applyBorder="1" applyAlignment="1">
      <alignment horizontal="center" vertical="center"/>
    </xf>
    <xf numFmtId="1" fontId="0" fillId="0" borderId="31" xfId="0" applyNumberFormat="1" applyBorder="1" applyAlignment="1">
      <alignment horizontal="center" vertical="center"/>
    </xf>
    <xf numFmtId="1" fontId="0" fillId="0" borderId="32" xfId="0" applyNumberFormat="1" applyBorder="1" applyAlignment="1">
      <alignment horizontal="center" vertical="center"/>
    </xf>
    <xf numFmtId="1" fontId="38" fillId="0" borderId="30" xfId="0" applyNumberFormat="1" applyFont="1" applyBorder="1" applyAlignment="1">
      <alignment horizontal="center" vertical="center" wrapText="1"/>
    </xf>
    <xf numFmtId="1" fontId="38" fillId="0" borderId="31" xfId="0" applyNumberFormat="1" applyFont="1" applyBorder="1" applyAlignment="1">
      <alignment horizontal="center" vertical="center" wrapText="1"/>
    </xf>
    <xf numFmtId="1" fontId="38" fillId="0" borderId="32" xfId="0" applyNumberFormat="1" applyFont="1" applyBorder="1" applyAlignment="1">
      <alignment horizontal="center" vertical="center" wrapText="1"/>
    </xf>
    <xf numFmtId="0" fontId="38" fillId="0" borderId="30" xfId="0" applyFont="1" applyBorder="1" applyAlignment="1">
      <alignment horizontal="center" vertical="center" wrapText="1"/>
    </xf>
    <xf numFmtId="0" fontId="38" fillId="0" borderId="31" xfId="0" applyFont="1" applyBorder="1" applyAlignment="1">
      <alignment horizontal="center" vertical="center" wrapText="1"/>
    </xf>
    <xf numFmtId="0" fontId="38" fillId="0" borderId="32" xfId="0" applyFont="1" applyBorder="1" applyAlignment="1">
      <alignment horizontal="center" vertical="center" wrapText="1"/>
    </xf>
    <xf numFmtId="2" fontId="46" fillId="0" borderId="36" xfId="0" applyNumberFormat="1" applyFont="1" applyBorder="1" applyAlignment="1">
      <alignment horizontal="center" vertical="center" wrapText="1"/>
    </xf>
    <xf numFmtId="0" fontId="47" fillId="0" borderId="36" xfId="0" applyFont="1" applyBorder="1" applyAlignment="1">
      <alignment vertical="center" wrapText="1"/>
    </xf>
    <xf numFmtId="0" fontId="10" fillId="6" borderId="12" xfId="0" applyFont="1" applyFill="1" applyBorder="1" applyAlignment="1" applyProtection="1">
      <alignment vertical="center"/>
      <protection locked="0"/>
    </xf>
    <xf numFmtId="1" fontId="10" fillId="6" borderId="15" xfId="3" applyNumberFormat="1" applyFont="1" applyFill="1" applyBorder="1" applyAlignment="1" applyProtection="1">
      <alignment vertical="center"/>
      <protection locked="0"/>
    </xf>
    <xf numFmtId="0" fontId="10" fillId="6" borderId="15" xfId="0" applyFont="1" applyFill="1" applyBorder="1" applyAlignment="1" applyProtection="1">
      <alignment vertical="center"/>
      <protection locked="0"/>
    </xf>
    <xf numFmtId="44" fontId="10" fillId="6" borderId="15" xfId="2" applyFont="1" applyFill="1" applyBorder="1" applyAlignment="1" applyProtection="1">
      <alignment vertical="center"/>
      <protection locked="0"/>
    </xf>
    <xf numFmtId="167" fontId="10" fillId="6" borderId="15" xfId="2" applyNumberFormat="1" applyFont="1" applyFill="1" applyBorder="1" applyAlignment="1" applyProtection="1">
      <alignment vertical="center"/>
      <protection locked="0"/>
    </xf>
    <xf numFmtId="1" fontId="10" fillId="6" borderId="15" xfId="2" applyNumberFormat="1" applyFont="1" applyFill="1" applyBorder="1" applyAlignment="1" applyProtection="1">
      <alignment vertical="center"/>
      <protection locked="0"/>
    </xf>
    <xf numFmtId="164" fontId="10" fillId="6" borderId="15" xfId="2" applyNumberFormat="1" applyFont="1" applyFill="1" applyBorder="1" applyAlignment="1" applyProtection="1">
      <alignment vertical="center"/>
      <protection locked="0"/>
    </xf>
    <xf numFmtId="44" fontId="41" fillId="6" borderId="15" xfId="2" applyFont="1" applyFill="1" applyBorder="1" applyAlignment="1" applyProtection="1">
      <alignment vertical="center"/>
      <protection locked="0"/>
    </xf>
    <xf numFmtId="0" fontId="10" fillId="6" borderId="15" xfId="0" applyFont="1" applyFill="1" applyBorder="1" applyAlignment="1" applyProtection="1">
      <alignment horizontal="center" vertical="center"/>
      <protection locked="0"/>
    </xf>
    <xf numFmtId="0" fontId="10" fillId="6" borderId="18" xfId="0" applyFont="1" applyFill="1" applyBorder="1" applyAlignment="1" applyProtection="1">
      <alignment horizontal="center" vertical="center"/>
      <protection locked="0"/>
    </xf>
    <xf numFmtId="0" fontId="40" fillId="6" borderId="0" xfId="0" applyFont="1" applyFill="1" applyAlignment="1" applyProtection="1">
      <alignment vertical="center" wrapText="1"/>
      <protection locked="0"/>
    </xf>
    <xf numFmtId="44" fontId="10" fillId="6" borderId="0" xfId="2" applyFont="1" applyFill="1" applyProtection="1">
      <protection locked="0"/>
    </xf>
    <xf numFmtId="0" fontId="10" fillId="6" borderId="0" xfId="0" applyFont="1" applyFill="1" applyProtection="1">
      <protection locked="0"/>
    </xf>
    <xf numFmtId="14" fontId="10" fillId="6" borderId="0" xfId="0" applyNumberFormat="1" applyFont="1" applyFill="1" applyProtection="1">
      <protection locked="0"/>
    </xf>
    <xf numFmtId="0" fontId="10" fillId="6" borderId="0" xfId="0" applyFont="1" applyFill="1" applyAlignment="1" applyProtection="1">
      <alignment horizontal="right" vertical="center"/>
      <protection locked="0"/>
    </xf>
    <xf numFmtId="0" fontId="10" fillId="6" borderId="0" xfId="0" applyFont="1" applyFill="1" applyAlignment="1" applyProtection="1">
      <alignment vertical="center"/>
      <protection locked="0"/>
    </xf>
    <xf numFmtId="0" fontId="48" fillId="0" borderId="0" xfId="0" applyFont="1"/>
    <xf numFmtId="0" fontId="41" fillId="0" borderId="0" xfId="0" applyFont="1" applyAlignment="1">
      <alignment horizontal="left"/>
    </xf>
    <xf numFmtId="8" fontId="28" fillId="0" borderId="56" xfId="0" applyNumberFormat="1" applyFont="1" applyBorder="1" applyAlignment="1">
      <alignment vertical="center"/>
    </xf>
    <xf numFmtId="8" fontId="13" fillId="0" borderId="56" xfId="0" applyNumberFormat="1" applyFont="1" applyBorder="1" applyAlignment="1">
      <alignment vertical="center"/>
    </xf>
    <xf numFmtId="0" fontId="40" fillId="0" borderId="38" xfId="0" applyFont="1" applyBorder="1" applyAlignment="1">
      <alignment vertical="center" wrapText="1"/>
    </xf>
    <xf numFmtId="0" fontId="41" fillId="0" borderId="14" xfId="0" applyFont="1" applyBorder="1" applyAlignment="1">
      <alignment vertical="center"/>
    </xf>
    <xf numFmtId="0" fontId="41" fillId="0" borderId="15" xfId="0" applyFont="1" applyBorder="1" applyAlignment="1">
      <alignment vertical="center"/>
    </xf>
    <xf numFmtId="0" fontId="53" fillId="0" borderId="14" xfId="0" applyFont="1" applyBorder="1"/>
    <xf numFmtId="0" fontId="41" fillId="0" borderId="6" xfId="0" applyFont="1" applyBorder="1" applyAlignment="1">
      <alignment vertical="center" wrapText="1"/>
    </xf>
    <xf numFmtId="169" fontId="10" fillId="6" borderId="15" xfId="3" applyNumberFormat="1" applyFont="1" applyFill="1" applyBorder="1" applyAlignment="1" applyProtection="1">
      <alignment vertical="center"/>
      <protection locked="0"/>
    </xf>
    <xf numFmtId="0" fontId="11" fillId="0" borderId="0" xfId="0" applyFont="1" applyAlignment="1">
      <alignment horizontal="left" vertical="center" wrapText="1"/>
    </xf>
    <xf numFmtId="0" fontId="54" fillId="5" borderId="36" xfId="0" applyFont="1" applyFill="1" applyBorder="1" applyAlignment="1">
      <alignment vertical="center" wrapText="1"/>
    </xf>
    <xf numFmtId="0" fontId="11" fillId="0" borderId="0" xfId="0" applyFont="1" applyAlignment="1">
      <alignment vertical="center" wrapText="1"/>
    </xf>
    <xf numFmtId="0" fontId="9" fillId="0" borderId="0" xfId="6" applyFont="1" applyAlignment="1">
      <alignment horizontal="left"/>
    </xf>
    <xf numFmtId="0" fontId="11" fillId="0" borderId="0" xfId="0" applyFont="1" applyAlignment="1">
      <alignment horizontal="left" vertical="center" wrapText="1"/>
    </xf>
    <xf numFmtId="0" fontId="10" fillId="0" borderId="15" xfId="0" applyFont="1" applyBorder="1" applyAlignment="1">
      <alignment horizontal="left" vertical="center"/>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6" fillId="0" borderId="6" xfId="0" applyFont="1" applyBorder="1" applyAlignment="1">
      <alignment horizontal="left" wrapText="1"/>
    </xf>
    <xf numFmtId="0" fontId="6" fillId="0" borderId="0" xfId="0" applyFont="1" applyAlignment="1">
      <alignment horizontal="left" wrapText="1"/>
    </xf>
    <xf numFmtId="0" fontId="51" fillId="0" borderId="6" xfId="4" applyFont="1" applyFill="1" applyBorder="1" applyAlignment="1">
      <alignment horizontal="left" wrapText="1"/>
    </xf>
    <xf numFmtId="0" fontId="51" fillId="0" borderId="0" xfId="4" applyFont="1" applyFill="1" applyBorder="1" applyAlignment="1">
      <alignment horizontal="left" wrapText="1"/>
    </xf>
    <xf numFmtId="0" fontId="51" fillId="0" borderId="7" xfId="4" applyFont="1" applyFill="1" applyBorder="1" applyAlignment="1">
      <alignment horizontal="left" wrapText="1"/>
    </xf>
    <xf numFmtId="0" fontId="41" fillId="0" borderId="6" xfId="0" applyFont="1" applyBorder="1" applyAlignment="1">
      <alignment horizontal="left" vertical="center" wrapText="1"/>
    </xf>
    <xf numFmtId="0" fontId="41" fillId="0" borderId="0" xfId="0" applyFont="1" applyAlignment="1">
      <alignment horizontal="left" vertical="center" wrapText="1"/>
    </xf>
    <xf numFmtId="0" fontId="26" fillId="4" borderId="36" xfId="0" applyFont="1" applyFill="1" applyBorder="1" applyAlignment="1">
      <alignment horizontal="center" vertical="center"/>
    </xf>
    <xf numFmtId="0" fontId="26" fillId="4" borderId="0" xfId="0" applyFont="1" applyFill="1" applyAlignment="1">
      <alignment horizontal="center" vertical="center"/>
    </xf>
    <xf numFmtId="0" fontId="26" fillId="4" borderId="37" xfId="0" applyFont="1" applyFill="1" applyBorder="1" applyAlignment="1">
      <alignment horizontal="center" vertical="center"/>
    </xf>
    <xf numFmtId="0" fontId="19" fillId="0" borderId="0" xfId="0" applyFont="1" applyAlignment="1">
      <alignment horizontal="left" vertical="center" wrapText="1"/>
    </xf>
    <xf numFmtId="0" fontId="35" fillId="5" borderId="0" xfId="0" applyFont="1" applyFill="1" applyAlignment="1">
      <alignment horizontal="center" wrapText="1"/>
    </xf>
    <xf numFmtId="0" fontId="35" fillId="5" borderId="0" xfId="0" applyFont="1" applyFill="1" applyAlignment="1">
      <alignment horizontal="center" vertical="center" wrapText="1"/>
    </xf>
    <xf numFmtId="0" fontId="43" fillId="3" borderId="49" xfId="0" applyFont="1" applyFill="1" applyBorder="1" applyAlignment="1">
      <alignment horizontal="center" vertical="center"/>
    </xf>
    <xf numFmtId="0" fontId="43" fillId="3" borderId="50" xfId="0" applyFont="1" applyFill="1" applyBorder="1" applyAlignment="1">
      <alignment horizontal="center" vertical="center"/>
    </xf>
    <xf numFmtId="0" fontId="10" fillId="0" borderId="51" xfId="0" applyFont="1" applyBorder="1" applyAlignment="1">
      <alignment horizontal="left" vertical="center" wrapText="1"/>
    </xf>
    <xf numFmtId="0" fontId="10" fillId="0" borderId="52" xfId="0" applyFont="1" applyBorder="1" applyAlignment="1">
      <alignment horizontal="left" vertical="center" wrapText="1"/>
    </xf>
    <xf numFmtId="0" fontId="10" fillId="0" borderId="53" xfId="0" applyFont="1" applyBorder="1" applyAlignment="1">
      <alignment horizontal="left" vertical="center" wrapText="1"/>
    </xf>
    <xf numFmtId="0" fontId="37" fillId="0" borderId="0" xfId="4" applyFont="1" applyBorder="1" applyAlignment="1">
      <alignment horizontal="left" vertical="center" wrapText="1"/>
    </xf>
    <xf numFmtId="0" fontId="35" fillId="5" borderId="36" xfId="0" applyFont="1" applyFill="1" applyBorder="1" applyAlignment="1">
      <alignment horizontal="left" vertical="center" wrapText="1"/>
    </xf>
    <xf numFmtId="0" fontId="40" fillId="0" borderId="34" xfId="0" applyFont="1" applyBorder="1" applyAlignment="1">
      <alignment horizontal="left" vertical="center" wrapText="1"/>
    </xf>
    <xf numFmtId="0" fontId="40" fillId="0" borderId="35" xfId="0" applyFont="1" applyBorder="1" applyAlignment="1">
      <alignment horizontal="left" vertical="center" wrapText="1"/>
    </xf>
    <xf numFmtId="0" fontId="40" fillId="0" borderId="0" xfId="0" applyFont="1" applyAlignment="1">
      <alignment horizontal="left" vertical="center" wrapText="1"/>
    </xf>
    <xf numFmtId="0" fontId="40" fillId="0" borderId="37" xfId="0" applyFont="1" applyBorder="1" applyAlignment="1">
      <alignment horizontal="left" vertical="center" wrapText="1"/>
    </xf>
    <xf numFmtId="0" fontId="40" fillId="0" borderId="39" xfId="0" applyFont="1" applyBorder="1" applyAlignment="1">
      <alignment horizontal="left" vertical="center" wrapText="1"/>
    </xf>
    <xf numFmtId="0" fontId="40" fillId="0" borderId="40" xfId="0" applyFont="1" applyBorder="1" applyAlignment="1">
      <alignment horizontal="left" vertical="center" wrapText="1"/>
    </xf>
    <xf numFmtId="0" fontId="26" fillId="4" borderId="36" xfId="0" applyFont="1" applyFill="1" applyBorder="1" applyAlignment="1">
      <alignment horizontal="center" vertical="center" wrapText="1"/>
    </xf>
    <xf numFmtId="0" fontId="26" fillId="4" borderId="0" xfId="0" applyFont="1" applyFill="1" applyAlignment="1">
      <alignment horizontal="center" vertical="center" wrapText="1"/>
    </xf>
    <xf numFmtId="0" fontId="26" fillId="4" borderId="37" xfId="0" applyFont="1" applyFill="1" applyBorder="1" applyAlignment="1">
      <alignment horizontal="center" vertical="center" wrapText="1"/>
    </xf>
    <xf numFmtId="0" fontId="35" fillId="5" borderId="0" xfId="0" applyFont="1" applyFill="1" applyAlignment="1">
      <alignment horizontal="right" vertical="center" wrapText="1"/>
    </xf>
    <xf numFmtId="0" fontId="43" fillId="3" borderId="49" xfId="0" applyFont="1" applyFill="1" applyBorder="1" applyAlignment="1">
      <alignment horizontal="center" vertical="center" wrapText="1"/>
    </xf>
    <xf numFmtId="0" fontId="43" fillId="3" borderId="50" xfId="0" applyFont="1" applyFill="1" applyBorder="1" applyAlignment="1">
      <alignment horizontal="center" vertical="center" wrapText="1"/>
    </xf>
    <xf numFmtId="0" fontId="26" fillId="4" borderId="25" xfId="0" applyFont="1" applyFill="1" applyBorder="1" applyAlignment="1">
      <alignment horizontal="center" vertical="center"/>
    </xf>
    <xf numFmtId="0" fontId="29" fillId="4" borderId="54" xfId="0" applyFont="1" applyFill="1" applyBorder="1" applyAlignment="1">
      <alignment horizontal="center" vertical="center"/>
    </xf>
    <xf numFmtId="0" fontId="29" fillId="4" borderId="55" xfId="0" applyFont="1" applyFill="1" applyBorder="1" applyAlignment="1">
      <alignment horizontal="center" vertical="center"/>
    </xf>
  </cellXfs>
  <cellStyles count="7">
    <cellStyle name="Hyperlink" xfId="5" xr:uid="{00000000-000B-0000-0000-000008000000}"/>
    <cellStyle name="Lien hypertexte" xfId="4" builtinId="8"/>
    <cellStyle name="Milliers" xfId="1" builtinId="3"/>
    <cellStyle name="Monétaire" xfId="2" builtinId="4"/>
    <cellStyle name="Normal" xfId="0" builtinId="0"/>
    <cellStyle name="Pourcentage" xfId="3" builtinId="5"/>
    <cellStyle name="Titre 2" xfId="6" xr:uid="{D64C85B8-6E04-4BBD-B2E8-4C773B820B5A}"/>
  </cellStyles>
  <dxfs count="0"/>
  <tableStyles count="0" defaultTableStyle="TableStyleMedium2" defaultPivotStyle="PivotStyleLight16"/>
  <colors>
    <mruColors>
      <color rgb="FF91DFF7"/>
      <color rgb="FF006600"/>
      <color rgb="FF0099CC"/>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agrireseau.net/documents/103648/budget-de-tresorerie-et-de-gestion"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https://www.youtube.com/watch?v=7DbxpcWbtPA"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Financement!A1"/></Relationships>
</file>

<file path=xl/drawings/_rels/drawing5.xml.rels><?xml version="1.0" encoding="UTF-8" standalone="yes"?>
<Relationships xmlns="http://schemas.openxmlformats.org/package/2006/relationships"><Relationship Id="rId1" Type="http://schemas.openxmlformats.org/officeDocument/2006/relationships/hyperlink" Target="#'BUDGET Acheter ou produire'!A1"/></Relationships>
</file>

<file path=xl/drawings/drawing1.xml><?xml version="1.0" encoding="utf-8"?>
<xdr:wsDr xmlns:xdr="http://schemas.openxmlformats.org/drawingml/2006/spreadsheetDrawing" xmlns:a="http://schemas.openxmlformats.org/drawingml/2006/main">
  <xdr:twoCellAnchor>
    <xdr:from>
      <xdr:col>1</xdr:col>
      <xdr:colOff>95250</xdr:colOff>
      <xdr:row>2</xdr:row>
      <xdr:rowOff>9526</xdr:rowOff>
    </xdr:from>
    <xdr:to>
      <xdr:col>10</xdr:col>
      <xdr:colOff>725250</xdr:colOff>
      <xdr:row>6</xdr:row>
      <xdr:rowOff>257175</xdr:rowOff>
    </xdr:to>
    <xdr:sp macro="" textlink="">
      <xdr:nvSpPr>
        <xdr:cNvPr id="13" name="ZoneTexte 1">
          <a:extLst>
            <a:ext uri="{FF2B5EF4-FFF2-40B4-BE49-F238E27FC236}">
              <a16:creationId xmlns:a16="http://schemas.microsoft.com/office/drawing/2014/main" id="{B52AE767-5344-40B7-AD4A-74D9DB091C94}"/>
            </a:ext>
          </a:extLst>
        </xdr:cNvPr>
        <xdr:cNvSpPr txBox="1"/>
      </xdr:nvSpPr>
      <xdr:spPr>
        <a:xfrm>
          <a:off x="246529" y="1987364"/>
          <a:ext cx="7488000" cy="145788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b="0" i="0" u="none" strike="noStrike">
              <a:solidFill>
                <a:schemeClr val="dk1"/>
              </a:solidFill>
              <a:effectLst/>
              <a:latin typeface="Aptos" panose="020B0004020202020204" pitchFamily="34" charset="0"/>
              <a:ea typeface="+mn-ea"/>
              <a:cs typeface="+mn-cs"/>
            </a:rPr>
            <a:t>L’utilisation de ce fichier est sous l’entière responsabilité des utilisateurs. Le ministère</a:t>
          </a:r>
          <a:r>
            <a:rPr lang="fr-CA" sz="1100" b="0" i="0" u="none" strike="noStrike" baseline="0">
              <a:solidFill>
                <a:schemeClr val="dk1"/>
              </a:solidFill>
              <a:effectLst/>
              <a:latin typeface="Aptos" panose="020B0004020202020204" pitchFamily="34" charset="0"/>
              <a:ea typeface="+mn-ea"/>
              <a:cs typeface="+mn-cs"/>
            </a:rPr>
            <a:t> de l’Agriculture, des Pêcheries et de l’Alimentation (MAPAQ)</a:t>
          </a:r>
          <a:r>
            <a:rPr lang="fr-CA" sz="1100" b="0" i="0" u="none" strike="noStrike">
              <a:solidFill>
                <a:schemeClr val="dk1"/>
              </a:solidFill>
              <a:effectLst/>
              <a:latin typeface="Aptos" panose="020B0004020202020204" pitchFamily="34" charset="0"/>
              <a:ea typeface="+mn-ea"/>
              <a:cs typeface="+mn-cs"/>
            </a:rPr>
            <a:t> n’est aucunement responsable de toute inexactitude, erreur, omission ou faute qui pourrait découler, directement ou indirectement, de l’utilisation du fichier.</a:t>
          </a:r>
          <a:r>
            <a:rPr lang="fr-CA" sz="1100">
              <a:latin typeface="Aptos" panose="020B0004020202020204" pitchFamily="34" charset="0"/>
            </a:rPr>
            <a:t> </a:t>
          </a:r>
          <a:r>
            <a:rPr lang="fr-CA" sz="1100" b="0" i="0" u="none" strike="noStrike">
              <a:solidFill>
                <a:schemeClr val="dk1"/>
              </a:solidFill>
              <a:effectLst/>
              <a:latin typeface="Aptos" panose="020B0004020202020204" pitchFamily="34" charset="0"/>
              <a:ea typeface="+mn-ea"/>
              <a:cs typeface="+mn-cs"/>
            </a:rPr>
            <a:t>Le MAPAQ n’est pas responsable d’une</a:t>
          </a:r>
          <a:r>
            <a:rPr lang="fr-CA" sz="1100" b="0" i="0" u="none" strike="noStrike" baseline="0">
              <a:solidFill>
                <a:schemeClr val="dk1"/>
              </a:solidFill>
              <a:effectLst/>
              <a:latin typeface="Aptos" panose="020B0004020202020204" pitchFamily="34" charset="0"/>
              <a:ea typeface="+mn-ea"/>
              <a:cs typeface="+mn-cs"/>
            </a:rPr>
            <a:t> </a:t>
          </a:r>
          <a:r>
            <a:rPr lang="fr-CA" sz="1100" b="0" i="0" u="none" strike="noStrike">
              <a:solidFill>
                <a:schemeClr val="dk1"/>
              </a:solidFill>
              <a:effectLst/>
              <a:latin typeface="Aptos" panose="020B0004020202020204" pitchFamily="34" charset="0"/>
              <a:ea typeface="+mn-ea"/>
              <a:cs typeface="+mn-cs"/>
            </a:rPr>
            <a:t>perte de données pouvant résulter de la mauvaise utilisation du fichier.</a:t>
          </a:r>
          <a:endParaRPr lang="fr-CA" sz="1100">
            <a:latin typeface="Aptos" panose="020B0004020202020204" pitchFamily="34" charset="0"/>
          </a:endParaRPr>
        </a:p>
        <a:p>
          <a:endParaRPr lang="fr-CA" sz="1100">
            <a:latin typeface="Aptos" panose="020B0004020202020204" pitchFamily="34" charset="0"/>
          </a:endParaRPr>
        </a:p>
        <a:p>
          <a:r>
            <a:rPr lang="fr-CA" sz="1100">
              <a:latin typeface="Aptos" panose="020B0004020202020204" pitchFamily="34" charset="0"/>
            </a:rPr>
            <a:t>ATTENTION : La valeur des informations issues de cet outil est corrélée avec la qualité des informations inscrites principalement</a:t>
          </a:r>
          <a:r>
            <a:rPr lang="fr-CA" sz="1100" baseline="0">
              <a:latin typeface="Aptos" panose="020B0004020202020204" pitchFamily="34" charset="0"/>
            </a:rPr>
            <a:t> </a:t>
          </a:r>
          <a:r>
            <a:rPr lang="fr-CA" sz="1100">
              <a:latin typeface="Aptos" panose="020B0004020202020204" pitchFamily="34" charset="0"/>
            </a:rPr>
            <a:t>dans l’onglet </a:t>
          </a:r>
          <a:r>
            <a:rPr lang="fr-CA" sz="1100" i="0">
              <a:latin typeface="Aptos" panose="020B0004020202020204" pitchFamily="34" charset="0"/>
            </a:rPr>
            <a:t>Données techniques</a:t>
          </a:r>
          <a:r>
            <a:rPr lang="fr-CA" sz="1100">
              <a:latin typeface="Aptos" panose="020B0004020202020204" pitchFamily="34" charset="0"/>
            </a:rPr>
            <a:t>,</a:t>
          </a:r>
          <a:r>
            <a:rPr lang="fr-CA" sz="1100" baseline="0">
              <a:latin typeface="Aptos" panose="020B0004020202020204" pitchFamily="34" charset="0"/>
            </a:rPr>
            <a:t> soit les données saisies dans les cases bleues.</a:t>
          </a:r>
          <a:endParaRPr lang="fr-CA" sz="1100">
            <a:latin typeface="Aptos" panose="020B0004020202020204" pitchFamily="34" charset="0"/>
          </a:endParaRPr>
        </a:p>
        <a:p>
          <a:endParaRPr lang="fr-CA" sz="1100">
            <a:latin typeface="Aptos" panose="020B0004020202020204" pitchFamily="34" charset="0"/>
          </a:endParaRPr>
        </a:p>
        <a:p>
          <a:endParaRPr lang="fr-CA" sz="1100">
            <a:latin typeface="Aptos" panose="020B0004020202020204" pitchFamily="34" charset="0"/>
          </a:endParaRPr>
        </a:p>
      </xdr:txBody>
    </xdr:sp>
    <xdr:clientData/>
  </xdr:twoCellAnchor>
  <xdr:twoCellAnchor>
    <xdr:from>
      <xdr:col>1</xdr:col>
      <xdr:colOff>115252</xdr:colOff>
      <xdr:row>9</xdr:row>
      <xdr:rowOff>84602</xdr:rowOff>
    </xdr:from>
    <xdr:to>
      <xdr:col>10</xdr:col>
      <xdr:colOff>745252</xdr:colOff>
      <xdr:row>16</xdr:row>
      <xdr:rowOff>176092</xdr:rowOff>
    </xdr:to>
    <xdr:sp macro="" textlink="">
      <xdr:nvSpPr>
        <xdr:cNvPr id="303" name="ZoneTexte 2">
          <a:extLst>
            <a:ext uri="{FF2B5EF4-FFF2-40B4-BE49-F238E27FC236}">
              <a16:creationId xmlns:a16="http://schemas.microsoft.com/office/drawing/2014/main" id="{3EB5EDA3-2BD4-4187-AB93-0BD8DB0B42A4}"/>
            </a:ext>
          </a:extLst>
        </xdr:cNvPr>
        <xdr:cNvSpPr txBox="1"/>
      </xdr:nvSpPr>
      <xdr:spPr>
        <a:xfrm>
          <a:off x="266531" y="4012264"/>
          <a:ext cx="7488000" cy="19852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i="0" u="none" strike="noStrike">
              <a:solidFill>
                <a:schemeClr val="accent6">
                  <a:lumMod val="75000"/>
                </a:schemeClr>
              </a:solidFill>
              <a:effectLst/>
              <a:latin typeface="Aptos" panose="020B0004020202020204" pitchFamily="34" charset="0"/>
              <a:ea typeface="+mn-ea"/>
              <a:cs typeface="+mn-cs"/>
            </a:rPr>
            <a:t>Problème</a:t>
          </a:r>
          <a:r>
            <a:rPr lang="fr-CA" sz="1400" b="1" i="0" u="none" strike="noStrike" baseline="0">
              <a:solidFill>
                <a:schemeClr val="accent6">
                  <a:lumMod val="75000"/>
                </a:schemeClr>
              </a:solidFill>
              <a:effectLst/>
              <a:latin typeface="Aptos" panose="020B0004020202020204" pitchFamily="34" charset="0"/>
              <a:ea typeface="+mn-ea"/>
              <a:cs typeface="+mn-cs"/>
            </a:rPr>
            <a:t> d’affichage : </a:t>
          </a:r>
          <a:r>
            <a:rPr lang="fr-CA" sz="1100" b="0" i="0" u="none" strike="noStrike" baseline="0">
              <a:solidFill>
                <a:sysClr val="windowText" lastClr="000000"/>
              </a:solidFill>
              <a:effectLst/>
              <a:latin typeface="Aptos" panose="020B0004020202020204" pitchFamily="34" charset="0"/>
              <a:ea typeface="+mn-ea"/>
              <a:cs typeface="+mn-cs"/>
            </a:rPr>
            <a:t>Si certaines colonnes affichent </a:t>
          </a:r>
          <a:r>
            <a:rPr lang="fr-CA" sz="1100" b="1" i="0">
              <a:solidFill>
                <a:schemeClr val="dk1"/>
              </a:solidFill>
              <a:effectLst/>
              <a:latin typeface="Aptos" panose="020B0004020202020204" pitchFamily="34" charset="0"/>
              <a:ea typeface="+mn-ea"/>
              <a:cs typeface="+mn-cs"/>
            </a:rPr>
            <a:t>« </a:t>
          </a:r>
          <a:r>
            <a:rPr lang="fr-CA" sz="1100" b="0" i="0" u="none" strike="noStrike" baseline="0">
              <a:solidFill>
                <a:sysClr val="windowText" lastClr="000000"/>
              </a:solidFill>
              <a:effectLst/>
              <a:latin typeface="Aptos" panose="020B0004020202020204" pitchFamily="34" charset="0"/>
              <a:ea typeface="+mn-ea"/>
              <a:cs typeface="+mn-cs"/>
            </a:rPr>
            <a:t>######## </a:t>
          </a:r>
          <a:r>
            <a:rPr lang="fr-CA" sz="1100" b="1" i="0" baseline="0">
              <a:solidFill>
                <a:schemeClr val="dk1"/>
              </a:solidFill>
              <a:effectLst/>
              <a:latin typeface="Aptos" panose="020B0004020202020204" pitchFamily="34" charset="0"/>
              <a:ea typeface="+mn-ea"/>
              <a:cs typeface="+mn-cs"/>
            </a:rPr>
            <a:t>»</a:t>
          </a:r>
          <a:r>
            <a:rPr lang="fr-CA" sz="1100" b="0" i="0" u="none" strike="noStrike" baseline="0">
              <a:solidFill>
                <a:sysClr val="windowText" lastClr="000000"/>
              </a:solidFill>
              <a:effectLst/>
              <a:latin typeface="Aptos" panose="020B0004020202020204" pitchFamily="34" charset="0"/>
              <a:ea typeface="+mn-ea"/>
              <a:cs typeface="+mn-cs"/>
            </a:rPr>
            <a:t> au lieu d’une donnée, c’est parce que 	                                 la largeur de la colonne est insuffisante. Vous n’avez qu’à élargir cette dernière.</a:t>
          </a:r>
          <a:endParaRPr lang="fr-CA" sz="1100" b="1" i="0" u="none" strike="noStrike">
            <a:solidFill>
              <a:sysClr val="windowText" lastClr="000000"/>
            </a:solidFill>
            <a:effectLst/>
            <a:latin typeface="Aptos" panose="020B0004020202020204" pitchFamily="34" charset="0"/>
            <a:ea typeface="+mn-ea"/>
            <a:cs typeface="+mn-cs"/>
          </a:endParaRPr>
        </a:p>
        <a:p>
          <a:endParaRPr lang="fr-CA" sz="1200" b="1" i="0" u="none" strike="noStrike">
            <a:solidFill>
              <a:sysClr val="windowText" lastClr="000000"/>
            </a:solidFill>
            <a:effectLst/>
            <a:latin typeface="Aptos" panose="020B00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b="1" i="0" baseline="0">
              <a:solidFill>
                <a:schemeClr val="accent6">
                  <a:lumMod val="75000"/>
                </a:schemeClr>
              </a:solidFill>
              <a:effectLst/>
              <a:latin typeface="+mn-lt"/>
              <a:ea typeface="+mn-ea"/>
              <a:cs typeface="+mn-cs"/>
            </a:rPr>
            <a:t>ÉTAPE 1 : Visionnez le webinaire Prérequis pour produire des agnelles de remplacement. </a:t>
          </a:r>
          <a:endParaRPr lang="fr-CA" sz="1200" i="0">
            <a:solidFill>
              <a:schemeClr val="accent6">
                <a:lumMod val="75000"/>
              </a:schemeClr>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b="1" i="0" baseline="0">
              <a:solidFill>
                <a:schemeClr val="accent6">
                  <a:lumMod val="75000"/>
                </a:schemeClr>
              </a:solidFill>
              <a:effectLst/>
              <a:latin typeface="+mn-lt"/>
              <a:ea typeface="+mn-ea"/>
              <a:cs typeface="+mn-cs"/>
            </a:rPr>
            <a:t>ÉTAPE 2 : Remplissez l’onglet Données techniques avec le maximum de précision.</a:t>
          </a:r>
          <a:endParaRPr lang="fr-CA" sz="1200">
            <a:solidFill>
              <a:schemeClr val="accent6">
                <a:lumMod val="75000"/>
              </a:schemeClr>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b="1" i="0" baseline="0">
              <a:solidFill>
                <a:schemeClr val="accent6">
                  <a:lumMod val="75000"/>
                </a:schemeClr>
              </a:solidFill>
              <a:effectLst/>
              <a:latin typeface="+mn-lt"/>
              <a:ea typeface="+mn-ea"/>
              <a:cs typeface="+mn-cs"/>
            </a:rPr>
            <a:t>ÉTAPE 3 : Consultez l’onglet BUDGET – Acheter ou produire. </a:t>
          </a:r>
          <a:endParaRPr lang="fr-CA" sz="1200">
            <a:solidFill>
              <a:schemeClr val="accent6">
                <a:lumMod val="75000"/>
              </a:schemeClr>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b="1" i="0" baseline="0">
              <a:solidFill>
                <a:schemeClr val="accent6">
                  <a:lumMod val="75000"/>
                </a:schemeClr>
              </a:solidFill>
              <a:effectLst/>
              <a:latin typeface="+mn-lt"/>
              <a:ea typeface="+mn-ea"/>
              <a:cs typeface="+mn-cs"/>
            </a:rPr>
            <a:t>ÉTAPE 4 : Consultez l’onglet BUDGET – Amélioration performance.</a:t>
          </a:r>
        </a:p>
        <a:p>
          <a:pPr marL="0" marR="0" lvl="0" indent="0" defTabSz="914400" eaLnBrk="1" fontAlgn="auto" latinLnBrk="0" hangingPunct="1">
            <a:lnSpc>
              <a:spcPct val="100000"/>
            </a:lnSpc>
            <a:spcBef>
              <a:spcPts val="0"/>
            </a:spcBef>
            <a:spcAft>
              <a:spcPts val="0"/>
            </a:spcAft>
            <a:buClrTx/>
            <a:buSzTx/>
            <a:buFontTx/>
            <a:buNone/>
            <a:tabLst/>
            <a:defRPr/>
          </a:pPr>
          <a:endParaRPr lang="fr-CA" sz="1200">
            <a:solidFill>
              <a:schemeClr val="accent6">
                <a:lumMod val="75000"/>
              </a:schemeClr>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b="1" i="0" baseline="0">
              <a:solidFill>
                <a:schemeClr val="accent6">
                  <a:lumMod val="75000"/>
                </a:schemeClr>
              </a:solidFill>
              <a:effectLst/>
              <a:latin typeface="+mn-lt"/>
              <a:ea typeface="+mn-ea"/>
              <a:cs typeface="+mn-cs"/>
            </a:rPr>
            <a:t>ÉTAPE 5 : Faites un choix éclairé! </a:t>
          </a:r>
          <a:endParaRPr lang="fr-CA" sz="1200" b="1" i="0" u="none" strike="noStrike">
            <a:solidFill>
              <a:schemeClr val="accent6">
                <a:lumMod val="75000"/>
              </a:schemeClr>
            </a:solidFill>
            <a:effectLst/>
            <a:latin typeface="Aptos" panose="020B0004020202020204" pitchFamily="34" charset="0"/>
            <a:ea typeface="+mn-ea"/>
            <a:cs typeface="+mn-cs"/>
          </a:endParaRPr>
        </a:p>
        <a:p>
          <a:endParaRPr lang="fr-CA" sz="1200" b="1" i="0" u="none" strike="noStrike">
            <a:solidFill>
              <a:srgbClr val="6B5190"/>
            </a:solidFill>
            <a:effectLst/>
            <a:latin typeface="Aptos" panose="020B0004020202020204" pitchFamily="34" charset="0"/>
            <a:ea typeface="+mn-ea"/>
            <a:cs typeface="+mn-cs"/>
          </a:endParaRPr>
        </a:p>
        <a:p>
          <a:endParaRPr lang="fr-CA" sz="1050" b="1" i="0" u="none" strike="noStrike">
            <a:solidFill>
              <a:srgbClr val="6B5190"/>
            </a:solidFill>
            <a:effectLst/>
            <a:latin typeface="Aptos" panose="020B0004020202020204" pitchFamily="34" charset="0"/>
            <a:ea typeface="+mn-ea"/>
            <a:cs typeface="+mn-cs"/>
          </a:endParaRPr>
        </a:p>
      </xdr:txBody>
    </xdr:sp>
    <xdr:clientData/>
  </xdr:twoCellAnchor>
  <xdr:twoCellAnchor>
    <xdr:from>
      <xdr:col>1</xdr:col>
      <xdr:colOff>106456</xdr:colOff>
      <xdr:row>41</xdr:row>
      <xdr:rowOff>481</xdr:rowOff>
    </xdr:from>
    <xdr:to>
      <xdr:col>10</xdr:col>
      <xdr:colOff>741218</xdr:colOff>
      <xdr:row>51</xdr:row>
      <xdr:rowOff>95251</xdr:rowOff>
    </xdr:to>
    <xdr:sp macro="" textlink="">
      <xdr:nvSpPr>
        <xdr:cNvPr id="431" name="ZoneTexte 1">
          <a:extLst>
            <a:ext uri="{FF2B5EF4-FFF2-40B4-BE49-F238E27FC236}">
              <a16:creationId xmlns:a16="http://schemas.microsoft.com/office/drawing/2014/main" id="{8DE50999-C9E8-41B9-BEA3-C192D20F450F}"/>
            </a:ext>
            <a:ext uri="{147F2762-F138-4A5C-976F-8EAC2B608ADB}">
              <a16:predDERef xmlns:a16="http://schemas.microsoft.com/office/drawing/2014/main" pred="{3EB5EDA3-2BD4-4187-AB93-0BD8DB0B42A4}"/>
            </a:ext>
          </a:extLst>
        </xdr:cNvPr>
        <xdr:cNvSpPr txBox="1"/>
      </xdr:nvSpPr>
      <xdr:spPr>
        <a:xfrm>
          <a:off x="270979" y="10495299"/>
          <a:ext cx="8038284" cy="18265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i="0" u="none" strike="noStrike" baseline="0">
              <a:solidFill>
                <a:schemeClr val="accent6">
                  <a:lumMod val="75000"/>
                </a:schemeClr>
              </a:solidFill>
              <a:effectLst/>
              <a:latin typeface="Aptos" panose="020B0004020202020204" pitchFamily="34" charset="0"/>
              <a:ea typeface="+mn-ea"/>
              <a:cs typeface="+mn-cs"/>
            </a:rPr>
            <a:t>Cet outil de la Table sectorielle en productions animales à été élaboré par :</a:t>
          </a:r>
        </a:p>
        <a:p>
          <a:endParaRPr lang="fr-CA" sz="1100" b="0" i="0" u="none" strike="noStrike">
            <a:solidFill>
              <a:schemeClr val="dk1"/>
            </a:solidFill>
            <a:effectLst/>
            <a:latin typeface="Aptos" panose="020B0004020202020204" pitchFamily="34" charset="0"/>
            <a:ea typeface="+mn-ea"/>
            <a:cs typeface="+mn-cs"/>
          </a:endParaRPr>
        </a:p>
        <a:p>
          <a:r>
            <a:rPr lang="fr-CA" sz="1100" b="1" i="1" u="none" strike="noStrike">
              <a:solidFill>
                <a:schemeClr val="dk1"/>
              </a:solidFill>
              <a:effectLst/>
              <a:latin typeface="Aptos" panose="020B0004020202020204" pitchFamily="34" charset="0"/>
              <a:ea typeface="+mn-ea"/>
              <a:cs typeface="+mn-cs"/>
            </a:rPr>
            <a:t>Stéphanie</a:t>
          </a:r>
          <a:r>
            <a:rPr lang="fr-CA" sz="1100" b="1" i="1" u="none" strike="noStrike" baseline="0">
              <a:solidFill>
                <a:schemeClr val="dk1"/>
              </a:solidFill>
              <a:effectLst/>
              <a:latin typeface="Aptos" panose="020B0004020202020204" pitchFamily="34" charset="0"/>
              <a:ea typeface="+mn-ea"/>
              <a:cs typeface="+mn-cs"/>
            </a:rPr>
            <a:t> Landry</a:t>
          </a:r>
          <a:r>
            <a:rPr lang="fr-CA" sz="1100" b="1" i="1" u="none" strike="noStrike">
              <a:solidFill>
                <a:schemeClr val="dk1"/>
              </a:solidFill>
              <a:effectLst/>
              <a:latin typeface="Aptos" panose="020B0004020202020204" pitchFamily="34" charset="0"/>
              <a:ea typeface="+mn-ea"/>
              <a:cs typeface="+mn-cs"/>
            </a:rPr>
            <a:t>, agronome			</a:t>
          </a:r>
          <a:r>
            <a:rPr lang="fr-CA" sz="1100" b="1" i="1" u="none" strike="noStrike" baseline="0">
              <a:solidFill>
                <a:schemeClr val="dk1"/>
              </a:solidFill>
              <a:effectLst/>
              <a:latin typeface="Aptos" panose="020B0004020202020204" pitchFamily="34" charset="0"/>
              <a:ea typeface="+mn-ea"/>
              <a:cs typeface="+mn-cs"/>
            </a:rPr>
            <a:t>           M</a:t>
          </a:r>
          <a:r>
            <a:rPr lang="fr-CA" sz="1100" b="1" i="1" u="none" strike="noStrike">
              <a:solidFill>
                <a:schemeClr val="dk1"/>
              </a:solidFill>
              <a:effectLst/>
              <a:latin typeface="Aptos" panose="020B0004020202020204" pitchFamily="34" charset="0"/>
              <a:ea typeface="+mn-ea"/>
              <a:cs typeface="+mn-cs"/>
            </a:rPr>
            <a:t>arie-Ange</a:t>
          </a:r>
          <a:r>
            <a:rPr lang="fr-CA" sz="1100" b="1" i="1" u="none" strike="noStrike" baseline="0">
              <a:solidFill>
                <a:schemeClr val="dk1"/>
              </a:solidFill>
              <a:effectLst/>
              <a:latin typeface="Aptos" panose="020B0004020202020204" pitchFamily="34" charset="0"/>
              <a:ea typeface="+mn-ea"/>
              <a:cs typeface="+mn-cs"/>
            </a:rPr>
            <a:t> Therrien, agronome</a:t>
          </a:r>
          <a:endParaRPr lang="fr-CA" sz="1100" b="1" i="1" u="none" strike="noStrike">
            <a:solidFill>
              <a:schemeClr val="dk1"/>
            </a:solidFill>
            <a:effectLst/>
            <a:latin typeface="Aptos" panose="020B00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b="0" i="0" u="none" strike="noStrike">
              <a:solidFill>
                <a:schemeClr val="dk1"/>
              </a:solidFill>
              <a:effectLst/>
              <a:latin typeface="Aptos" panose="020B0004020202020204" pitchFamily="34" charset="0"/>
              <a:ea typeface="+mn-ea"/>
              <a:cs typeface="+mn-cs"/>
            </a:rPr>
            <a:t>Direction</a:t>
          </a:r>
          <a:r>
            <a:rPr lang="fr-CA" sz="1100" b="0" i="0" u="none" strike="noStrike" baseline="0">
              <a:solidFill>
                <a:schemeClr val="dk1"/>
              </a:solidFill>
              <a:effectLst/>
              <a:latin typeface="Aptos" panose="020B0004020202020204" pitchFamily="34" charset="0"/>
              <a:ea typeface="+mn-ea"/>
              <a:cs typeface="+mn-cs"/>
            </a:rPr>
            <a:t> régionale du Bas-Saint-Laurent                                                      </a:t>
          </a:r>
          <a:r>
            <a:rPr lang="fr-CA" sz="1100" b="0" i="0">
              <a:solidFill>
                <a:schemeClr val="dk1"/>
              </a:solidFill>
              <a:effectLst/>
              <a:latin typeface="Aptos" panose="020B0004020202020204" pitchFamily="34" charset="0"/>
              <a:ea typeface="+mn-ea"/>
              <a:cs typeface="+mn-cs"/>
            </a:rPr>
            <a:t>Direction</a:t>
          </a:r>
          <a:r>
            <a:rPr lang="fr-CA" sz="1100" b="0" i="0" baseline="0">
              <a:solidFill>
                <a:schemeClr val="dk1"/>
              </a:solidFill>
              <a:effectLst/>
              <a:latin typeface="Aptos" panose="020B0004020202020204" pitchFamily="34" charset="0"/>
              <a:ea typeface="+mn-ea"/>
              <a:cs typeface="+mn-cs"/>
            </a:rPr>
            <a:t> régionale de l’Estrie</a:t>
          </a:r>
          <a:endParaRPr lang="fr-CA">
            <a:effectLst/>
            <a:latin typeface="Aptos" panose="020B00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b="0" i="0" u="none" strike="noStrike">
              <a:solidFill>
                <a:schemeClr val="dk1"/>
              </a:solidFill>
              <a:effectLst/>
              <a:latin typeface="Aptos" panose="020B0004020202020204" pitchFamily="34" charset="0"/>
              <a:ea typeface="+mn-ea"/>
              <a:cs typeface="+mn-cs"/>
            </a:rPr>
            <a:t>Ministère</a:t>
          </a:r>
          <a:r>
            <a:rPr lang="fr-CA" sz="1100" b="0" i="0" u="none" strike="noStrike" baseline="0">
              <a:solidFill>
                <a:schemeClr val="dk1"/>
              </a:solidFill>
              <a:effectLst/>
              <a:latin typeface="Aptos" panose="020B0004020202020204" pitchFamily="34" charset="0"/>
              <a:ea typeface="+mn-ea"/>
              <a:cs typeface="+mn-cs"/>
            </a:rPr>
            <a:t> de l’Agriculture, des Pêcheries 	         	           </a:t>
          </a:r>
          <a:r>
            <a:rPr lang="fr-CA" sz="1100" b="0" i="0">
              <a:solidFill>
                <a:schemeClr val="dk1"/>
              </a:solidFill>
              <a:effectLst/>
              <a:latin typeface="+mn-lt"/>
              <a:ea typeface="+mn-ea"/>
              <a:cs typeface="+mn-cs"/>
            </a:rPr>
            <a:t>Ministère</a:t>
          </a:r>
          <a:r>
            <a:rPr lang="fr-CA" sz="1100" b="0" i="0" baseline="0">
              <a:solidFill>
                <a:schemeClr val="dk1"/>
              </a:solidFill>
              <a:effectLst/>
              <a:latin typeface="+mn-lt"/>
              <a:ea typeface="+mn-ea"/>
              <a:cs typeface="+mn-cs"/>
            </a:rPr>
            <a:t> de l’Agriculture, des Pêcheries </a:t>
          </a:r>
          <a:br>
            <a:rPr lang="fr-CA" sz="1100" b="0" i="0" u="none" strike="noStrike" baseline="0">
              <a:solidFill>
                <a:schemeClr val="dk1"/>
              </a:solidFill>
              <a:effectLst/>
              <a:latin typeface="Aptos" panose="020B0004020202020204" pitchFamily="34" charset="0"/>
              <a:ea typeface="+mn-ea"/>
              <a:cs typeface="+mn-cs"/>
            </a:rPr>
          </a:br>
          <a:r>
            <a:rPr lang="fr-CA" sz="1100" b="0" i="0" baseline="0">
              <a:solidFill>
                <a:schemeClr val="dk1"/>
              </a:solidFill>
              <a:effectLst/>
              <a:latin typeface="+mn-lt"/>
              <a:ea typeface="+mn-ea"/>
              <a:cs typeface="+mn-cs"/>
            </a:rPr>
            <a:t>et de </a:t>
          </a:r>
          <a:r>
            <a:rPr lang="fr-CA" sz="1100" b="0" i="0" u="none" strike="noStrike" baseline="0">
              <a:solidFill>
                <a:schemeClr val="dk1"/>
              </a:solidFill>
              <a:effectLst/>
              <a:latin typeface="Aptos" panose="020B0004020202020204" pitchFamily="34" charset="0"/>
              <a:ea typeface="+mn-ea"/>
              <a:cs typeface="+mn-cs"/>
            </a:rPr>
            <a:t>l’Alimentation</a:t>
          </a:r>
          <a:r>
            <a:rPr lang="fr-CA" sz="1100">
              <a:latin typeface="Aptos" panose="020B0004020202020204" pitchFamily="34" charset="0"/>
            </a:rPr>
            <a:t>             </a:t>
          </a:r>
          <a:r>
            <a:rPr lang="fr-CA" sz="1100" b="0" i="0" baseline="0">
              <a:solidFill>
                <a:schemeClr val="dk1"/>
              </a:solidFill>
              <a:effectLst/>
              <a:latin typeface="Aptos" panose="020B0004020202020204" pitchFamily="34" charset="0"/>
              <a:ea typeface="+mn-ea"/>
              <a:cs typeface="+mn-cs"/>
            </a:rPr>
            <a:t>			</a:t>
          </a:r>
          <a:r>
            <a:rPr lang="fr-CA" sz="1100" b="0" i="0" baseline="0">
              <a:solidFill>
                <a:sysClr val="windowText" lastClr="000000"/>
              </a:solidFill>
              <a:effectLst/>
              <a:latin typeface="Aptos" panose="020B0004020202020204" pitchFamily="34" charset="0"/>
              <a:ea typeface="+mn-ea"/>
              <a:cs typeface="+mn-cs"/>
            </a:rPr>
            <a:t>           </a:t>
          </a:r>
          <a:r>
            <a:rPr lang="fr-CA" sz="1100" b="0" i="0" baseline="0">
              <a:solidFill>
                <a:schemeClr val="dk1"/>
              </a:solidFill>
              <a:effectLst/>
              <a:latin typeface="+mn-lt"/>
              <a:ea typeface="+mn-ea"/>
              <a:cs typeface="+mn-cs"/>
            </a:rPr>
            <a:t>et de </a:t>
          </a:r>
          <a:r>
            <a:rPr lang="fr-CA" sz="1100" b="0" i="0" baseline="0">
              <a:solidFill>
                <a:sysClr val="windowText" lastClr="000000"/>
              </a:solidFill>
              <a:effectLst/>
              <a:latin typeface="Aptos" panose="020B0004020202020204" pitchFamily="34" charset="0"/>
              <a:ea typeface="+mn-ea"/>
              <a:cs typeface="+mn-cs"/>
            </a:rPr>
            <a:t>l’Alimentation</a:t>
          </a:r>
          <a:r>
            <a:rPr lang="fr-CA" sz="1100">
              <a:solidFill>
                <a:sysClr val="windowText" lastClr="000000"/>
              </a:solidFill>
              <a:effectLst/>
              <a:latin typeface="Aptos" panose="020B0004020202020204" pitchFamily="34" charset="0"/>
              <a:ea typeface="+mn-ea"/>
              <a:cs typeface="+mn-cs"/>
            </a:rPr>
            <a:t> </a:t>
          </a:r>
          <a:endParaRPr lang="fr-CA">
            <a:solidFill>
              <a:sysClr val="windowText" lastClr="000000"/>
            </a:solidFill>
            <a:effectLst/>
            <a:latin typeface="Aptos" panose="020B0004020202020204" pitchFamily="34" charset="0"/>
          </a:endParaRPr>
        </a:p>
        <a:p>
          <a:endParaRPr lang="fr-CA" sz="1100">
            <a:latin typeface="Aptos" panose="020B00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b="0" i="0" u="none" strike="noStrike">
              <a:solidFill>
                <a:schemeClr val="dk1"/>
              </a:solidFill>
              <a:effectLst/>
              <a:latin typeface="Aptos" panose="020B0004020202020204" pitchFamily="34" charset="0"/>
              <a:ea typeface="+mn-ea"/>
              <a:cs typeface="+mn-cs"/>
            </a:rPr>
            <a:t>Téléphone : 418</a:t>
          </a:r>
          <a:r>
            <a:rPr lang="fr-CA" sz="1100" b="0" i="0" u="none" strike="noStrike" baseline="0">
              <a:solidFill>
                <a:schemeClr val="dk1"/>
              </a:solidFill>
              <a:effectLst/>
              <a:latin typeface="Aptos" panose="020B0004020202020204" pitchFamily="34" charset="0"/>
              <a:ea typeface="+mn-ea"/>
              <a:cs typeface="+mn-cs"/>
            </a:rPr>
            <a:t> 727-3615</a:t>
          </a:r>
          <a:r>
            <a:rPr lang="fr-CA" sz="1100" b="0" i="0" u="none" strike="noStrike">
              <a:solidFill>
                <a:schemeClr val="dk1"/>
              </a:solidFill>
              <a:effectLst/>
              <a:latin typeface="Aptos" panose="020B0004020202020204" pitchFamily="34" charset="0"/>
              <a:ea typeface="+mn-ea"/>
              <a:cs typeface="+mn-cs"/>
            </a:rPr>
            <a:t>, poste</a:t>
          </a:r>
          <a:r>
            <a:rPr lang="fr-CA" sz="1100" b="0" i="0" u="none" strike="noStrike" baseline="0">
              <a:solidFill>
                <a:schemeClr val="dk1"/>
              </a:solidFill>
              <a:effectLst/>
              <a:latin typeface="Aptos" panose="020B0004020202020204" pitchFamily="34" charset="0"/>
              <a:ea typeface="+mn-ea"/>
              <a:cs typeface="+mn-cs"/>
            </a:rPr>
            <a:t> 1618                                                            </a:t>
          </a:r>
          <a:r>
            <a:rPr lang="fr-CA" sz="1100" b="0" i="0">
              <a:solidFill>
                <a:schemeClr val="dk1"/>
              </a:solidFill>
              <a:effectLst/>
              <a:latin typeface="Aptos" panose="020B0004020202020204" pitchFamily="34" charset="0"/>
              <a:ea typeface="+mn-ea"/>
              <a:cs typeface="+mn-cs"/>
            </a:rPr>
            <a:t>Téléphone : 819 820-3001, poste</a:t>
          </a:r>
          <a:r>
            <a:rPr lang="fr-CA" sz="1100" b="0" i="0" baseline="0">
              <a:solidFill>
                <a:schemeClr val="dk1"/>
              </a:solidFill>
              <a:effectLst/>
              <a:latin typeface="Aptos" panose="020B0004020202020204" pitchFamily="34" charset="0"/>
              <a:ea typeface="+mn-ea"/>
              <a:cs typeface="+mn-cs"/>
            </a:rPr>
            <a:t> 4364</a:t>
          </a:r>
          <a:endParaRPr lang="fr-CA">
            <a:effectLst/>
            <a:latin typeface="Aptos" panose="020B00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b="0" i="0" u="none" strike="noStrike">
              <a:solidFill>
                <a:schemeClr val="dk1"/>
              </a:solidFill>
              <a:effectLst/>
              <a:latin typeface="Aptos" panose="020B0004020202020204" pitchFamily="34" charset="0"/>
              <a:ea typeface="+mn-ea"/>
              <a:cs typeface="+mn-cs"/>
            </a:rPr>
            <a:t>Courriel : stephanie.landry@mapaq.gouv.qc.ca</a:t>
          </a:r>
          <a:r>
            <a:rPr lang="fr-CA" sz="1100">
              <a:latin typeface="Aptos" panose="020B0004020202020204" pitchFamily="34" charset="0"/>
            </a:rPr>
            <a:t>  	            </a:t>
          </a:r>
          <a:r>
            <a:rPr lang="fr-CA" sz="1100" b="0" i="0">
              <a:solidFill>
                <a:schemeClr val="dk1"/>
              </a:solidFill>
              <a:effectLst/>
              <a:latin typeface="Aptos" panose="020B0004020202020204" pitchFamily="34" charset="0"/>
              <a:ea typeface="+mn-ea"/>
              <a:cs typeface="+mn-cs"/>
            </a:rPr>
            <a:t>Courriel : mari</a:t>
          </a:r>
          <a:r>
            <a:rPr lang="fr-CA" sz="1100" b="0" i="0">
              <a:solidFill>
                <a:sysClr val="windowText" lastClr="000000"/>
              </a:solidFill>
              <a:effectLst/>
              <a:latin typeface="Aptos" panose="020B0004020202020204" pitchFamily="34" charset="0"/>
              <a:ea typeface="+mn-ea"/>
              <a:cs typeface="+mn-cs"/>
            </a:rPr>
            <a:t>e-ang</a:t>
          </a:r>
          <a:r>
            <a:rPr lang="fr-CA" sz="1100" b="0" i="0">
              <a:solidFill>
                <a:schemeClr val="dk1"/>
              </a:solidFill>
              <a:effectLst/>
              <a:latin typeface="Aptos" panose="020B0004020202020204" pitchFamily="34" charset="0"/>
              <a:ea typeface="+mn-ea"/>
              <a:cs typeface="+mn-cs"/>
            </a:rPr>
            <a:t>e.therrien@mapaq.gouv.qc.ca</a:t>
          </a:r>
          <a:r>
            <a:rPr lang="fr-CA" sz="1100">
              <a:solidFill>
                <a:schemeClr val="dk1"/>
              </a:solidFill>
              <a:effectLst/>
              <a:latin typeface="Aptos" panose="020B0004020202020204" pitchFamily="34" charset="0"/>
              <a:ea typeface="+mn-ea"/>
              <a:cs typeface="+mn-cs"/>
            </a:rPr>
            <a:t> </a:t>
          </a:r>
        </a:p>
      </xdr:txBody>
    </xdr:sp>
    <xdr:clientData/>
  </xdr:twoCellAnchor>
  <xdr:twoCellAnchor>
    <xdr:from>
      <xdr:col>1</xdr:col>
      <xdr:colOff>114300</xdr:colOff>
      <xdr:row>18</xdr:row>
      <xdr:rowOff>142875</xdr:rowOff>
    </xdr:from>
    <xdr:to>
      <xdr:col>10</xdr:col>
      <xdr:colOff>742950</xdr:colOff>
      <xdr:row>40</xdr:row>
      <xdr:rowOff>114300</xdr:rowOff>
    </xdr:to>
    <xdr:sp macro="" textlink="">
      <xdr:nvSpPr>
        <xdr:cNvPr id="3" name="ZoneTexte 2">
          <a:extLst>
            <a:ext uri="{FF2B5EF4-FFF2-40B4-BE49-F238E27FC236}">
              <a16:creationId xmlns:a16="http://schemas.microsoft.com/office/drawing/2014/main" id="{02A599E4-BC1D-465D-86C5-3903EA39A512}"/>
            </a:ext>
            <a:ext uri="{147F2762-F138-4A5C-976F-8EAC2B608ADB}">
              <a16:predDERef xmlns:a16="http://schemas.microsoft.com/office/drawing/2014/main" pred="{8DE50999-C9E8-41B9-BEA3-C192D20F450F}"/>
            </a:ext>
          </a:extLst>
        </xdr:cNvPr>
        <xdr:cNvSpPr txBox="1"/>
      </xdr:nvSpPr>
      <xdr:spPr>
        <a:xfrm>
          <a:off x="266700" y="6429375"/>
          <a:ext cx="7486650" cy="3981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A" sz="1050" b="1" i="0" u="none" strike="noStrike">
            <a:solidFill>
              <a:srgbClr val="6B5190"/>
            </a:solidFill>
            <a:effectLst/>
            <a:latin typeface="Aptos" panose="020B0004020202020204" pitchFamily="34" charset="0"/>
            <a:ea typeface="+mn-ea"/>
            <a:cs typeface="+mn-cs"/>
          </a:endParaRPr>
        </a:p>
        <a:p>
          <a:r>
            <a:rPr lang="fr-CA" sz="1100" b="1">
              <a:solidFill>
                <a:schemeClr val="dk1"/>
              </a:solidFill>
              <a:effectLst/>
              <a:latin typeface="Aptos" panose="020B0004020202020204" pitchFamily="34" charset="0"/>
              <a:ea typeface="+mn-ea"/>
              <a:cs typeface="+mn-cs"/>
            </a:rPr>
            <a:t>Nombre</a:t>
          </a:r>
          <a:r>
            <a:rPr lang="fr-CA" sz="1100">
              <a:solidFill>
                <a:schemeClr val="dk1"/>
              </a:solidFill>
              <a:effectLst/>
              <a:latin typeface="Aptos" panose="020B0004020202020204" pitchFamily="34" charset="0"/>
              <a:ea typeface="+mn-ea"/>
              <a:cs typeface="+mn-cs"/>
            </a:rPr>
            <a:t> : 	    Détenir le nombre de femelles de qualité nécessaire à la production de remplacement</a:t>
          </a:r>
        </a:p>
        <a:p>
          <a:endParaRPr lang="fr-CA" sz="1100">
            <a:solidFill>
              <a:schemeClr val="dk1"/>
            </a:solidFill>
            <a:effectLst/>
            <a:latin typeface="Aptos" panose="020B0004020202020204" pitchFamily="34" charset="0"/>
            <a:ea typeface="+mn-ea"/>
            <a:cs typeface="+mn-cs"/>
          </a:endParaRPr>
        </a:p>
        <a:p>
          <a:r>
            <a:rPr lang="fr-CA" sz="1100" b="1">
              <a:solidFill>
                <a:schemeClr val="dk1"/>
              </a:solidFill>
              <a:effectLst/>
              <a:latin typeface="Aptos" panose="020B0004020202020204" pitchFamily="34" charset="0"/>
              <a:ea typeface="+mn-ea"/>
              <a:cs typeface="+mn-cs"/>
            </a:rPr>
            <a:t>Génétique </a:t>
          </a:r>
          <a:r>
            <a:rPr lang="fr-CA" sz="1100">
              <a:solidFill>
                <a:schemeClr val="dk1"/>
              </a:solidFill>
              <a:effectLst/>
              <a:latin typeface="Aptos" panose="020B0004020202020204" pitchFamily="34" charset="0"/>
              <a:ea typeface="+mn-ea"/>
              <a:cs typeface="+mn-cs"/>
            </a:rPr>
            <a:t>:	    Avoir</a:t>
          </a:r>
          <a:r>
            <a:rPr lang="fr-CA" sz="1100">
              <a:solidFill>
                <a:sysClr val="windowText" lastClr="000000"/>
              </a:solidFill>
              <a:effectLst/>
              <a:latin typeface="Aptos" panose="020B0004020202020204" pitchFamily="34" charset="0"/>
              <a:ea typeface="+mn-ea"/>
              <a:cs typeface="+mn-cs"/>
            </a:rPr>
            <a:t> l’intérêt et l’expertise pour </a:t>
          </a:r>
          <a:r>
            <a:rPr lang="fr-CA" sz="1100">
              <a:solidFill>
                <a:schemeClr val="dk1"/>
              </a:solidFill>
              <a:effectLst/>
              <a:latin typeface="Aptos" panose="020B0004020202020204" pitchFamily="34" charset="0"/>
              <a:ea typeface="+mn-ea"/>
              <a:cs typeface="+mn-cs"/>
            </a:rPr>
            <a:t>suivre les performances génétiques et prendre les données en conséquence (GenOvis)</a:t>
          </a:r>
        </a:p>
        <a:p>
          <a:endParaRPr lang="fr-CA" sz="1100" b="1">
            <a:solidFill>
              <a:schemeClr val="dk1"/>
            </a:solidFill>
            <a:effectLst/>
            <a:latin typeface="Aptos" panose="020B0004020202020204" pitchFamily="34" charset="0"/>
            <a:ea typeface="+mn-ea"/>
            <a:cs typeface="+mn-cs"/>
          </a:endParaRPr>
        </a:p>
        <a:p>
          <a:r>
            <a:rPr lang="fr-CA" sz="1100" b="1">
              <a:solidFill>
                <a:schemeClr val="dk1"/>
              </a:solidFill>
              <a:effectLst/>
              <a:latin typeface="Aptos" panose="020B0004020202020204" pitchFamily="34" charset="0"/>
              <a:ea typeface="+mn-ea"/>
              <a:cs typeface="+mn-cs"/>
            </a:rPr>
            <a:t>Conformation</a:t>
          </a:r>
          <a:r>
            <a:rPr lang="fr-CA" sz="1100">
              <a:solidFill>
                <a:schemeClr val="dk1"/>
              </a:solidFill>
              <a:effectLst/>
              <a:latin typeface="Aptos" panose="020B0004020202020204" pitchFamily="34" charset="0"/>
              <a:ea typeface="+mn-ea"/>
              <a:cs typeface="+mn-cs"/>
            </a:rPr>
            <a:t> :</a:t>
          </a:r>
          <a:r>
            <a:rPr lang="fr-CA" sz="1100" baseline="0">
              <a:solidFill>
                <a:schemeClr val="dk1"/>
              </a:solidFill>
              <a:effectLst/>
              <a:latin typeface="Aptos" panose="020B0004020202020204" pitchFamily="34" charset="0"/>
              <a:ea typeface="+mn-ea"/>
              <a:cs typeface="+mn-cs"/>
            </a:rPr>
            <a:t>   Avoir </a:t>
          </a:r>
          <a:r>
            <a:rPr lang="fr-CA" sz="1100" baseline="0">
              <a:solidFill>
                <a:sysClr val="windowText" lastClr="000000"/>
              </a:solidFill>
              <a:effectLst/>
              <a:latin typeface="+mn-lt"/>
              <a:ea typeface="+mn-ea"/>
              <a:cs typeface="+mn-cs"/>
            </a:rPr>
            <a:t>l</a:t>
          </a:r>
          <a:r>
            <a:rPr lang="fr-CA" sz="1100">
              <a:solidFill>
                <a:sysClr val="windowText" lastClr="000000"/>
              </a:solidFill>
              <a:effectLst/>
              <a:latin typeface="+mn-lt"/>
              <a:ea typeface="+mn-ea"/>
              <a:cs typeface="+mn-cs"/>
            </a:rPr>
            <a:t>’intérêt et l’expertise </a:t>
          </a:r>
          <a:r>
            <a:rPr lang="fr-CA" sz="1100">
              <a:solidFill>
                <a:sysClr val="windowText" lastClr="000000"/>
              </a:solidFill>
              <a:effectLst/>
              <a:latin typeface="Aptos" panose="020B0004020202020204" pitchFamily="34" charset="0"/>
              <a:ea typeface="+mn-ea"/>
              <a:cs typeface="+mn-cs"/>
            </a:rPr>
            <a:t>pour bien sélectionner les animaux selon leur</a:t>
          </a:r>
          <a:r>
            <a:rPr lang="fr-CA" sz="1100" baseline="0">
              <a:solidFill>
                <a:sysClr val="windowText" lastClr="000000"/>
              </a:solidFill>
              <a:effectLst/>
              <a:latin typeface="Aptos" panose="020B0004020202020204" pitchFamily="34" charset="0"/>
              <a:ea typeface="+mn-ea"/>
              <a:cs typeface="+mn-cs"/>
            </a:rPr>
            <a:t> </a:t>
          </a:r>
          <a:r>
            <a:rPr lang="fr-CA" sz="1100">
              <a:solidFill>
                <a:schemeClr val="dk1"/>
              </a:solidFill>
              <a:effectLst/>
              <a:latin typeface="Aptos" panose="020B0004020202020204" pitchFamily="34" charset="0"/>
              <a:ea typeface="+mn-ea"/>
              <a:cs typeface="+mn-cs"/>
            </a:rPr>
            <a:t>conformation</a:t>
          </a:r>
        </a:p>
        <a:p>
          <a:endParaRPr lang="fr-CA" sz="1100">
            <a:solidFill>
              <a:schemeClr val="dk1"/>
            </a:solidFill>
            <a:effectLst/>
            <a:latin typeface="Aptos" panose="020B0004020202020204" pitchFamily="34" charset="0"/>
            <a:ea typeface="+mn-ea"/>
            <a:cs typeface="+mn-cs"/>
          </a:endParaRPr>
        </a:p>
        <a:p>
          <a:r>
            <a:rPr lang="fr-CA" sz="1100" b="1">
              <a:solidFill>
                <a:schemeClr val="dk1"/>
              </a:solidFill>
              <a:effectLst/>
              <a:latin typeface="Aptos" panose="020B0004020202020204" pitchFamily="34" charset="0"/>
              <a:ea typeface="+mn-ea"/>
              <a:cs typeface="+mn-cs"/>
            </a:rPr>
            <a:t>Accouplement </a:t>
          </a:r>
          <a:r>
            <a:rPr lang="fr-CA" sz="1100">
              <a:solidFill>
                <a:schemeClr val="dk1"/>
              </a:solidFill>
              <a:effectLst/>
              <a:latin typeface="Aptos" panose="020B0004020202020204" pitchFamily="34" charset="0"/>
              <a:ea typeface="+mn-ea"/>
              <a:cs typeface="+mn-cs"/>
            </a:rPr>
            <a:t>:  Prévoir l’espace nécessaire pour réaliser la</a:t>
          </a:r>
          <a:r>
            <a:rPr lang="fr-CA" sz="1100" baseline="0">
              <a:solidFill>
                <a:schemeClr val="dk1"/>
              </a:solidFill>
              <a:effectLst/>
              <a:latin typeface="Aptos" panose="020B0004020202020204" pitchFamily="34" charset="0"/>
              <a:ea typeface="+mn-ea"/>
              <a:cs typeface="+mn-cs"/>
            </a:rPr>
            <a:t> gestion séparée des</a:t>
          </a:r>
          <a:r>
            <a:rPr lang="fr-CA" sz="1100">
              <a:solidFill>
                <a:schemeClr val="dk1"/>
              </a:solidFill>
              <a:effectLst/>
              <a:latin typeface="Aptos" panose="020B0004020202020204" pitchFamily="34" charset="0"/>
              <a:ea typeface="+mn-ea"/>
              <a:cs typeface="+mn-cs"/>
            </a:rPr>
            <a:t> accouplements</a:t>
          </a:r>
        </a:p>
        <a:p>
          <a:endParaRPr lang="fr-CA" sz="1100">
            <a:solidFill>
              <a:schemeClr val="dk1"/>
            </a:solidFill>
            <a:effectLst/>
            <a:latin typeface="Aptos" panose="020B0004020202020204" pitchFamily="34" charset="0"/>
            <a:ea typeface="+mn-ea"/>
            <a:cs typeface="+mn-cs"/>
          </a:endParaRPr>
        </a:p>
        <a:p>
          <a:r>
            <a:rPr lang="fr-CA" sz="1100" b="1">
              <a:solidFill>
                <a:schemeClr val="dk1"/>
              </a:solidFill>
              <a:effectLst/>
              <a:latin typeface="Aptos" panose="020B0004020202020204" pitchFamily="34" charset="0"/>
              <a:ea typeface="+mn-ea"/>
              <a:cs typeface="+mn-cs"/>
            </a:rPr>
            <a:t>Bélier </a:t>
          </a:r>
          <a:r>
            <a:rPr lang="fr-CA" sz="1100">
              <a:solidFill>
                <a:schemeClr val="dk1"/>
              </a:solidFill>
              <a:effectLst/>
              <a:latin typeface="Aptos" panose="020B0004020202020204" pitchFamily="34" charset="0"/>
              <a:ea typeface="+mn-ea"/>
              <a:cs typeface="+mn-cs"/>
            </a:rPr>
            <a:t>: 	     Avoir</a:t>
          </a:r>
          <a:r>
            <a:rPr lang="fr-CA" sz="1100" baseline="0">
              <a:solidFill>
                <a:schemeClr val="dk1"/>
              </a:solidFill>
              <a:effectLst/>
              <a:latin typeface="Aptos" panose="020B0004020202020204" pitchFamily="34" charset="0"/>
              <a:ea typeface="+mn-ea"/>
              <a:cs typeface="+mn-cs"/>
            </a:rPr>
            <a:t> </a:t>
          </a:r>
          <a:r>
            <a:rPr lang="fr-CA" sz="1100" baseline="0">
              <a:solidFill>
                <a:sysClr val="windowText" lastClr="000000"/>
              </a:solidFill>
              <a:effectLst/>
              <a:latin typeface="Aptos" panose="020B0004020202020204" pitchFamily="34" charset="0"/>
              <a:ea typeface="+mn-ea"/>
              <a:cs typeface="+mn-cs"/>
            </a:rPr>
            <a:t>l</a:t>
          </a:r>
          <a:r>
            <a:rPr lang="fr-CA" sz="1100">
              <a:solidFill>
                <a:sysClr val="windowText" lastClr="000000"/>
              </a:solidFill>
              <a:effectLst/>
              <a:latin typeface="Aptos" panose="020B0004020202020204" pitchFamily="34" charset="0"/>
              <a:ea typeface="+mn-ea"/>
              <a:cs typeface="+mn-cs"/>
            </a:rPr>
            <a:t>’intérêt et l'expertise pour </a:t>
          </a:r>
          <a:r>
            <a:rPr lang="fr-CA" sz="1100">
              <a:solidFill>
                <a:schemeClr val="dk1"/>
              </a:solidFill>
              <a:effectLst/>
              <a:latin typeface="Aptos" panose="020B0004020202020204" pitchFamily="34" charset="0"/>
              <a:ea typeface="+mn-ea"/>
              <a:cs typeface="+mn-cs"/>
            </a:rPr>
            <a:t>la</a:t>
          </a:r>
          <a:r>
            <a:rPr lang="fr-CA" sz="1100" baseline="0">
              <a:solidFill>
                <a:schemeClr val="dk1"/>
              </a:solidFill>
              <a:effectLst/>
              <a:latin typeface="Aptos" panose="020B0004020202020204" pitchFamily="34" charset="0"/>
              <a:ea typeface="+mn-ea"/>
              <a:cs typeface="+mn-cs"/>
            </a:rPr>
            <a:t> sélection et </a:t>
          </a:r>
          <a:r>
            <a:rPr lang="fr-CA" sz="1100">
              <a:solidFill>
                <a:schemeClr val="dk1"/>
              </a:solidFill>
              <a:effectLst/>
              <a:latin typeface="Aptos" panose="020B0004020202020204" pitchFamily="34" charset="0"/>
              <a:ea typeface="+mn-ea"/>
              <a:cs typeface="+mn-cs"/>
            </a:rPr>
            <a:t>l’achat de béliers de</a:t>
          </a:r>
          <a:r>
            <a:rPr lang="fr-CA" sz="1100" baseline="0">
              <a:solidFill>
                <a:schemeClr val="dk1"/>
              </a:solidFill>
              <a:effectLst/>
              <a:latin typeface="Aptos" panose="020B0004020202020204" pitchFamily="34" charset="0"/>
              <a:ea typeface="+mn-ea"/>
              <a:cs typeface="+mn-cs"/>
            </a:rPr>
            <a:t> </a:t>
          </a:r>
          <a:r>
            <a:rPr lang="fr-CA" sz="1100">
              <a:solidFill>
                <a:schemeClr val="dk1"/>
              </a:solidFill>
              <a:effectLst/>
              <a:latin typeface="Aptos" panose="020B0004020202020204" pitchFamily="34" charset="0"/>
              <a:ea typeface="+mn-ea"/>
              <a:cs typeface="+mn-cs"/>
            </a:rPr>
            <a:t>génétique </a:t>
          </a:r>
          <a:r>
            <a:rPr lang="fr-CA" sz="1100">
              <a:solidFill>
                <a:sysClr val="windowText" lastClr="000000"/>
              </a:solidFill>
              <a:effectLst/>
              <a:latin typeface="Aptos" panose="020B0004020202020204" pitchFamily="34" charset="0"/>
              <a:ea typeface="+mn-ea"/>
              <a:cs typeface="+mn-cs"/>
            </a:rPr>
            <a:t>supérieure</a:t>
          </a:r>
        </a:p>
        <a:p>
          <a:endParaRPr lang="fr-CA" sz="1100">
            <a:solidFill>
              <a:schemeClr val="dk1"/>
            </a:solidFill>
            <a:effectLst/>
            <a:latin typeface="Aptos" panose="020B0004020202020204" pitchFamily="34" charset="0"/>
            <a:ea typeface="+mn-ea"/>
            <a:cs typeface="+mn-cs"/>
          </a:endParaRPr>
        </a:p>
        <a:p>
          <a:r>
            <a:rPr lang="fr-CA" sz="1100" b="1">
              <a:solidFill>
                <a:schemeClr val="dk1"/>
              </a:solidFill>
              <a:effectLst/>
              <a:latin typeface="Aptos" panose="020B0004020202020204" pitchFamily="34" charset="0"/>
              <a:ea typeface="+mn-ea"/>
              <a:cs typeface="+mn-cs"/>
            </a:rPr>
            <a:t>Alimentation</a:t>
          </a:r>
          <a:r>
            <a:rPr lang="fr-CA" sz="1100">
              <a:solidFill>
                <a:schemeClr val="dk1"/>
              </a:solidFill>
              <a:effectLst/>
              <a:latin typeface="Aptos" panose="020B0004020202020204" pitchFamily="34" charset="0"/>
              <a:ea typeface="+mn-ea"/>
              <a:cs typeface="+mn-cs"/>
            </a:rPr>
            <a:t> :     Avoir</a:t>
          </a:r>
          <a:r>
            <a:rPr lang="fr-CA" sz="1100" baseline="0">
              <a:solidFill>
                <a:schemeClr val="dk1"/>
              </a:solidFill>
              <a:effectLst/>
              <a:latin typeface="Aptos" panose="020B0004020202020204" pitchFamily="34" charset="0"/>
              <a:ea typeface="+mn-ea"/>
              <a:cs typeface="+mn-cs"/>
            </a:rPr>
            <a:t> l</a:t>
          </a:r>
          <a:r>
            <a:rPr lang="fr-CA" sz="1100">
              <a:solidFill>
                <a:sysClr val="windowText" lastClr="000000"/>
              </a:solidFill>
              <a:effectLst/>
              <a:latin typeface="+mn-lt"/>
              <a:ea typeface="+mn-ea"/>
              <a:cs typeface="+mn-cs"/>
            </a:rPr>
            <a:t>’intérêt et l’expertise </a:t>
          </a:r>
          <a:r>
            <a:rPr lang="fr-CA" sz="1100">
              <a:solidFill>
                <a:sysClr val="windowText" lastClr="000000"/>
              </a:solidFill>
              <a:effectLst/>
              <a:latin typeface="Aptos" panose="020B0004020202020204" pitchFamily="34" charset="0"/>
              <a:ea typeface="+mn-ea"/>
              <a:cs typeface="+mn-cs"/>
            </a:rPr>
            <a:t>pour </a:t>
          </a:r>
          <a:r>
            <a:rPr lang="fr-CA" sz="1100">
              <a:solidFill>
                <a:schemeClr val="dk1"/>
              </a:solidFill>
              <a:effectLst/>
              <a:latin typeface="Aptos" panose="020B0004020202020204" pitchFamily="34" charset="0"/>
              <a:ea typeface="+mn-ea"/>
              <a:cs typeface="+mn-cs"/>
            </a:rPr>
            <a:t>bien alimenter les agnelles de remplacement</a:t>
          </a:r>
        </a:p>
        <a:p>
          <a:endParaRPr lang="fr-CA" sz="1100">
            <a:solidFill>
              <a:schemeClr val="dk1"/>
            </a:solidFill>
            <a:effectLst/>
            <a:latin typeface="Aptos" panose="020B0004020202020204" pitchFamily="34" charset="0"/>
            <a:ea typeface="+mn-ea"/>
            <a:cs typeface="+mn-cs"/>
          </a:endParaRPr>
        </a:p>
        <a:p>
          <a:r>
            <a:rPr lang="fr-CA" sz="1100" b="1">
              <a:solidFill>
                <a:schemeClr val="dk1"/>
              </a:solidFill>
              <a:effectLst/>
              <a:latin typeface="Aptos" panose="020B0004020202020204" pitchFamily="34" charset="0"/>
              <a:ea typeface="+mn-ea"/>
              <a:cs typeface="+mn-cs"/>
            </a:rPr>
            <a:t>Espace </a:t>
          </a:r>
          <a:r>
            <a:rPr lang="fr-CA" sz="1100">
              <a:solidFill>
                <a:schemeClr val="dk1"/>
              </a:solidFill>
              <a:effectLst/>
              <a:latin typeface="Aptos" panose="020B0004020202020204" pitchFamily="34" charset="0"/>
              <a:ea typeface="+mn-ea"/>
              <a:cs typeface="+mn-cs"/>
            </a:rPr>
            <a:t>:</a:t>
          </a:r>
          <a:r>
            <a:rPr lang="fr-CA" sz="1100" baseline="0">
              <a:solidFill>
                <a:schemeClr val="dk1"/>
              </a:solidFill>
              <a:effectLst/>
              <a:latin typeface="Aptos" panose="020B0004020202020204" pitchFamily="34" charset="0"/>
              <a:ea typeface="+mn-ea"/>
              <a:cs typeface="+mn-cs"/>
            </a:rPr>
            <a:t> 	    Prévoir </a:t>
          </a:r>
          <a:r>
            <a:rPr lang="fr-CA" sz="1100">
              <a:solidFill>
                <a:schemeClr val="dk1"/>
              </a:solidFill>
              <a:effectLst/>
              <a:latin typeface="Aptos" panose="020B0004020202020204" pitchFamily="34" charset="0"/>
              <a:ea typeface="+mn-ea"/>
              <a:cs typeface="+mn-cs"/>
            </a:rPr>
            <a:t>l’espace pour élever les agnelles de remplacement séparément</a:t>
          </a:r>
        </a:p>
        <a:p>
          <a:endParaRPr lang="fr-CA" sz="1100">
            <a:solidFill>
              <a:schemeClr val="dk1"/>
            </a:solidFill>
            <a:effectLst/>
            <a:latin typeface="Aptos" panose="020B0004020202020204" pitchFamily="34" charset="0"/>
            <a:ea typeface="+mn-ea"/>
            <a:cs typeface="+mn-cs"/>
          </a:endParaRPr>
        </a:p>
        <a:p>
          <a:endParaRPr lang="fr-CA" sz="1100">
            <a:solidFill>
              <a:schemeClr val="dk1"/>
            </a:solidFill>
            <a:effectLst/>
            <a:latin typeface="Aptos" panose="020B0004020202020204" pitchFamily="34" charset="0"/>
            <a:ea typeface="+mn-ea"/>
            <a:cs typeface="+mn-cs"/>
          </a:endParaRPr>
        </a:p>
        <a:p>
          <a:r>
            <a:rPr lang="fr-CA" sz="1100" b="1">
              <a:solidFill>
                <a:schemeClr val="dk1"/>
              </a:solidFill>
              <a:effectLst/>
              <a:latin typeface="Aptos" panose="020B0004020202020204" pitchFamily="34" charset="0"/>
              <a:ea typeface="+mn-ea"/>
              <a:cs typeface="+mn-cs"/>
            </a:rPr>
            <a:t>Autre référence </a:t>
          </a:r>
          <a:r>
            <a:rPr lang="fr-CA" sz="1100" b="1">
              <a:solidFill>
                <a:sysClr val="windowText" lastClr="000000"/>
              </a:solidFill>
              <a:effectLst/>
              <a:latin typeface="Aptos" panose="020B0004020202020204" pitchFamily="34" charset="0"/>
              <a:ea typeface="+mn-ea"/>
              <a:cs typeface="+mn-cs"/>
            </a:rPr>
            <a:t>utile :</a:t>
          </a:r>
          <a:r>
            <a:rPr lang="fr-CA" sz="1100" b="1" baseline="0">
              <a:solidFill>
                <a:sysClr val="windowText" lastClr="000000"/>
              </a:solidFill>
              <a:effectLst/>
              <a:latin typeface="Aptos" panose="020B0004020202020204" pitchFamily="34" charset="0"/>
              <a:ea typeface="+mn-ea"/>
              <a:cs typeface="+mn-cs"/>
            </a:rPr>
            <a:t> </a:t>
          </a:r>
          <a:endParaRPr lang="fr-CA" sz="1100" b="1">
            <a:solidFill>
              <a:sysClr val="windowText" lastClr="000000"/>
            </a:solidFill>
            <a:effectLst/>
            <a:latin typeface="Aptos" panose="020B0004020202020204" pitchFamily="34" charset="0"/>
            <a:ea typeface="+mn-ea"/>
            <a:cs typeface="+mn-cs"/>
          </a:endParaRPr>
        </a:p>
        <a:p>
          <a:r>
            <a:rPr lang="fr-CA" sz="1100">
              <a:solidFill>
                <a:schemeClr val="dk1"/>
              </a:solidFill>
              <a:effectLst/>
              <a:latin typeface="Aptos" panose="020B0004020202020204" pitchFamily="34" charset="0"/>
              <a:ea typeface="+mn-ea"/>
              <a:cs typeface="+mn-cs"/>
            </a:rPr>
            <a:t>L’achat ou</a:t>
          </a:r>
          <a:r>
            <a:rPr lang="fr-CA" sz="1100" baseline="0">
              <a:solidFill>
                <a:schemeClr val="dk1"/>
              </a:solidFill>
              <a:effectLst/>
              <a:latin typeface="Aptos" panose="020B0004020202020204" pitchFamily="34" charset="0"/>
              <a:ea typeface="+mn-ea"/>
              <a:cs typeface="+mn-cs"/>
            </a:rPr>
            <a:t> </a:t>
          </a:r>
          <a:r>
            <a:rPr lang="fr-CA" sz="1100" baseline="0">
              <a:solidFill>
                <a:sysClr val="windowText" lastClr="000000"/>
              </a:solidFill>
              <a:effectLst/>
              <a:latin typeface="Aptos" panose="020B0004020202020204" pitchFamily="34" charset="0"/>
              <a:ea typeface="+mn-ea"/>
              <a:cs typeface="+mn-cs"/>
            </a:rPr>
            <a:t>l’élevage d'agnelles de remplacement demande une planification des entrées et sorties d’argent. Pour vous aider, voici un outil conçu par le MAPAQ qui vous permettra d</a:t>
          </a:r>
          <a:r>
            <a:rPr lang="fr-CA" sz="1100" baseline="0">
              <a:solidFill>
                <a:schemeClr val="dk1"/>
              </a:solidFill>
              <a:effectLst/>
              <a:latin typeface="Aptos" panose="020B0004020202020204" pitchFamily="34" charset="0"/>
              <a:ea typeface="+mn-ea"/>
              <a:cs typeface="+mn-cs"/>
            </a:rPr>
            <a:t>e réaliser un budget de trésorerie.</a:t>
          </a:r>
        </a:p>
      </xdr:txBody>
    </xdr:sp>
    <xdr:clientData/>
  </xdr:twoCellAnchor>
  <xdr:twoCellAnchor editAs="oneCell">
    <xdr:from>
      <xdr:col>0</xdr:col>
      <xdr:colOff>800101</xdr:colOff>
      <xdr:row>0</xdr:row>
      <xdr:rowOff>285751</xdr:rowOff>
    </xdr:from>
    <xdr:to>
      <xdr:col>11</xdr:col>
      <xdr:colOff>65313</xdr:colOff>
      <xdr:row>0</xdr:row>
      <xdr:rowOff>1562100</xdr:rowOff>
    </xdr:to>
    <xdr:pic>
      <xdr:nvPicPr>
        <xdr:cNvPr id="8" name="Image 7">
          <a:extLst>
            <a:ext uri="{FF2B5EF4-FFF2-40B4-BE49-F238E27FC236}">
              <a16:creationId xmlns:a16="http://schemas.microsoft.com/office/drawing/2014/main" id="{CDA7A932-A5DA-E883-2B0D-89B097AB6BAA}"/>
            </a:ext>
          </a:extLst>
        </xdr:cNvPr>
        <xdr:cNvPicPr>
          <a:picLocks noChangeAspect="1"/>
        </xdr:cNvPicPr>
      </xdr:nvPicPr>
      <xdr:blipFill>
        <a:blip xmlns:r="http://schemas.openxmlformats.org/officeDocument/2006/relationships" r:embed="rId1"/>
        <a:stretch>
          <a:fillRect/>
        </a:stretch>
      </xdr:blipFill>
      <xdr:spPr>
        <a:xfrm>
          <a:off x="800101" y="285751"/>
          <a:ext cx="8269979" cy="1276349"/>
        </a:xfrm>
        <a:prstGeom prst="rect">
          <a:avLst/>
        </a:prstGeom>
      </xdr:spPr>
    </xdr:pic>
    <xdr:clientData/>
  </xdr:twoCellAnchor>
  <xdr:twoCellAnchor>
    <xdr:from>
      <xdr:col>1</xdr:col>
      <xdr:colOff>104775</xdr:colOff>
      <xdr:row>51</xdr:row>
      <xdr:rowOff>160720</xdr:rowOff>
    </xdr:from>
    <xdr:to>
      <xdr:col>10</xdr:col>
      <xdr:colOff>744299</xdr:colOff>
      <xdr:row>62</xdr:row>
      <xdr:rowOff>31765</xdr:rowOff>
    </xdr:to>
    <xdr:sp macro="" textlink="">
      <xdr:nvSpPr>
        <xdr:cNvPr id="419" name="ZoneTexte 1">
          <a:extLst>
            <a:ext uri="{FF2B5EF4-FFF2-40B4-BE49-F238E27FC236}">
              <a16:creationId xmlns:a16="http://schemas.microsoft.com/office/drawing/2014/main" id="{78660BB2-4A69-4DF8-9EC0-E22C3556FE85}"/>
            </a:ext>
          </a:extLst>
        </xdr:cNvPr>
        <xdr:cNvSpPr txBox="1"/>
      </xdr:nvSpPr>
      <xdr:spPr>
        <a:xfrm>
          <a:off x="269298" y="12387356"/>
          <a:ext cx="8043046" cy="17760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i="0" u="none" strike="noStrike" baseline="0">
              <a:solidFill>
                <a:schemeClr val="accent6">
                  <a:lumMod val="75000"/>
                </a:schemeClr>
              </a:solidFill>
              <a:effectLst/>
              <a:latin typeface="Aptos" panose="020B0004020202020204" pitchFamily="34" charset="0"/>
              <a:ea typeface="+mn-ea"/>
              <a:cs typeface="+mn-cs"/>
            </a:rPr>
            <a:t>Avec la collaboration de </a:t>
          </a:r>
          <a:r>
            <a:rPr lang="fr-CA" sz="1100" b="1" baseline="0">
              <a:solidFill>
                <a:schemeClr val="accent6">
                  <a:lumMod val="75000"/>
                </a:schemeClr>
              </a:solidFill>
              <a:latin typeface="Aptos" panose="020B0004020202020204" pitchFamily="34" charset="0"/>
            </a:rPr>
            <a:t>:</a:t>
          </a:r>
        </a:p>
        <a:p>
          <a:endParaRPr lang="fr-CA" sz="1100" b="0" i="0" u="none" strike="noStrike">
            <a:solidFill>
              <a:schemeClr val="dk1"/>
            </a:solidFill>
            <a:effectLst/>
            <a:latin typeface="Aptos" panose="020B0004020202020204" pitchFamily="34" charset="0"/>
            <a:ea typeface="+mn-ea"/>
            <a:cs typeface="+mn-cs"/>
          </a:endParaRPr>
        </a:p>
        <a:p>
          <a:r>
            <a:rPr lang="fr-CA" sz="1100" b="1" i="1" u="none" strike="noStrike">
              <a:solidFill>
                <a:schemeClr val="dk1"/>
              </a:solidFill>
              <a:effectLst/>
              <a:latin typeface="Aptos" panose="020B0004020202020204" pitchFamily="34" charset="0"/>
              <a:ea typeface="+mn-ea"/>
              <a:cs typeface="+mn-cs"/>
            </a:rPr>
            <a:t>Cynthia Bernier, MAPAQ</a:t>
          </a:r>
        </a:p>
        <a:p>
          <a:r>
            <a:rPr lang="fr-CA" sz="1100" b="1" i="1" u="none" strike="noStrike">
              <a:solidFill>
                <a:schemeClr val="dk1"/>
              </a:solidFill>
              <a:effectLst/>
              <a:latin typeface="Aptos" panose="020B0004020202020204" pitchFamily="34" charset="0"/>
              <a:ea typeface="+mn-ea"/>
              <a:cs typeface="+mn-cs"/>
            </a:rPr>
            <a:t>Sophie</a:t>
          </a:r>
          <a:r>
            <a:rPr lang="fr-CA" sz="1100" b="1" i="1" u="none" strike="noStrike" baseline="0">
              <a:solidFill>
                <a:schemeClr val="dk1"/>
              </a:solidFill>
              <a:effectLst/>
              <a:latin typeface="Aptos" panose="020B0004020202020204" pitchFamily="34" charset="0"/>
              <a:ea typeface="+mn-ea"/>
              <a:cs typeface="+mn-cs"/>
            </a:rPr>
            <a:t> </a:t>
          </a:r>
          <a:r>
            <a:rPr lang="fr-CA" sz="1100" b="1" i="1" u="none" strike="noStrike" baseline="0">
              <a:solidFill>
                <a:sysClr val="windowText" lastClr="000000"/>
              </a:solidFill>
              <a:effectLst/>
              <a:latin typeface="Aptos" panose="020B0004020202020204" pitchFamily="34" charset="0"/>
              <a:ea typeface="+mn-ea"/>
              <a:cs typeface="+mn-cs"/>
            </a:rPr>
            <a:t>Lizotte, agronome, MAPAQ</a:t>
          </a:r>
        </a:p>
        <a:p>
          <a:r>
            <a:rPr lang="fr-CA" sz="1100" b="1" i="1" u="none" strike="noStrike" baseline="0">
              <a:solidFill>
                <a:sysClr val="windowText" lastClr="000000"/>
              </a:solidFill>
              <a:effectLst/>
              <a:latin typeface="Aptos" panose="020B0004020202020204" pitchFamily="34" charset="0"/>
              <a:ea typeface="+mn-ea"/>
              <a:cs typeface="+mn-cs"/>
            </a:rPr>
            <a:t>Martin Malenfant, agronome, MAPAQ</a:t>
          </a:r>
          <a:r>
            <a:rPr lang="fr-CA" sz="1100" b="1" i="1" u="none" strike="noStrike">
              <a:solidFill>
                <a:schemeClr val="dk1"/>
              </a:solidFill>
              <a:effectLst/>
              <a:latin typeface="Aptos" panose="020B0004020202020204" pitchFamily="34" charset="0"/>
              <a:ea typeface="+mn-ea"/>
              <a:cs typeface="+mn-cs"/>
            </a:rPr>
            <a:t>		</a:t>
          </a:r>
          <a:r>
            <a:rPr lang="fr-CA" sz="1100" b="1" i="1" u="none" strike="noStrike" baseline="0">
              <a:solidFill>
                <a:schemeClr val="dk1"/>
              </a:solidFill>
              <a:effectLst/>
              <a:latin typeface="Aptos" panose="020B0004020202020204" pitchFamily="34" charset="0"/>
              <a:ea typeface="+mn-ea"/>
              <a:cs typeface="+mn-cs"/>
            </a:rPr>
            <a:t>           </a:t>
          </a:r>
          <a:endParaRPr lang="fr-CA" sz="1100" b="1" i="1" u="none" strike="noStrike">
            <a:solidFill>
              <a:schemeClr val="dk1"/>
            </a:solidFill>
            <a:effectLst/>
            <a:latin typeface="Aptos" panose="020B0004020202020204" pitchFamily="34" charset="0"/>
            <a:ea typeface="+mn-ea"/>
            <a:cs typeface="+mn-cs"/>
          </a:endParaRPr>
        </a:p>
        <a:p>
          <a:endParaRPr lang="fr-CA" sz="1100">
            <a:latin typeface="Aptos" panose="020B0004020202020204" pitchFamily="34" charset="0"/>
          </a:endParaRPr>
        </a:p>
        <a:p>
          <a:endParaRPr lang="fr-CA" sz="1100">
            <a:latin typeface="Aptos" panose="020B0004020202020204" pitchFamily="34" charset="0"/>
          </a:endParaRPr>
        </a:p>
        <a:p>
          <a:endParaRPr lang="fr-CA" sz="1100">
            <a:latin typeface="Aptos" panose="020B0004020202020204" pitchFamily="34" charset="0"/>
          </a:endParaRPr>
        </a:p>
        <a:p>
          <a:endParaRPr lang="fr-CA" sz="800">
            <a:latin typeface="Aptos" panose="020B0004020202020204" pitchFamily="34" charset="0"/>
          </a:endParaRPr>
        </a:p>
        <a:p>
          <a:r>
            <a:rPr lang="fr-CA" sz="800">
              <a:latin typeface="Aptos" panose="020B0004020202020204" pitchFamily="34" charset="0"/>
            </a:rPr>
            <a:t>Version de</a:t>
          </a:r>
          <a:r>
            <a:rPr lang="fr-CA" sz="800" baseline="0">
              <a:latin typeface="Aptos" panose="020B0004020202020204" pitchFamily="34" charset="0"/>
            </a:rPr>
            <a:t> janvier 2025</a:t>
          </a:r>
        </a:p>
        <a:p>
          <a:endParaRPr lang="fr-CA" sz="1100" baseline="0">
            <a:latin typeface="Aptos" panose="020B0004020202020204" pitchFamily="34" charset="0"/>
          </a:endParaRPr>
        </a:p>
      </xdr:txBody>
    </xdr:sp>
    <xdr:clientData/>
  </xdr:twoCellAnchor>
  <xdr:twoCellAnchor editAs="oneCell">
    <xdr:from>
      <xdr:col>7</xdr:col>
      <xdr:colOff>724332</xdr:colOff>
      <xdr:row>65</xdr:row>
      <xdr:rowOff>65376</xdr:rowOff>
    </xdr:from>
    <xdr:to>
      <xdr:col>11</xdr:col>
      <xdr:colOff>68407</xdr:colOff>
      <xdr:row>70</xdr:row>
      <xdr:rowOff>65376</xdr:rowOff>
    </xdr:to>
    <xdr:pic>
      <xdr:nvPicPr>
        <xdr:cNvPr id="2" name="Image 1">
          <a:extLst>
            <a:ext uri="{FF2B5EF4-FFF2-40B4-BE49-F238E27FC236}">
              <a16:creationId xmlns:a16="http://schemas.microsoft.com/office/drawing/2014/main" id="{99BF02F7-65E3-B15C-CE6D-FAF1826882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33196" y="15236103"/>
          <a:ext cx="2634529" cy="9092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624752</xdr:colOff>
      <xdr:row>37</xdr:row>
      <xdr:rowOff>85291</xdr:rowOff>
    </xdr:from>
    <xdr:to>
      <xdr:col>10</xdr:col>
      <xdr:colOff>535131</xdr:colOff>
      <xdr:row>39</xdr:row>
      <xdr:rowOff>102608</xdr:rowOff>
    </xdr:to>
    <xdr:sp macro="" textlink="">
      <xdr:nvSpPr>
        <xdr:cNvPr id="11" name="Rectangle 10">
          <a:hlinkClick xmlns:r="http://schemas.openxmlformats.org/officeDocument/2006/relationships" r:id="rId3"/>
          <a:extLst>
            <a:ext uri="{FF2B5EF4-FFF2-40B4-BE49-F238E27FC236}">
              <a16:creationId xmlns:a16="http://schemas.microsoft.com/office/drawing/2014/main" id="{41DF777F-3AD3-47F4-B393-689C8D84882F}"/>
            </a:ext>
            <a:ext uri="{147F2762-F138-4A5C-976F-8EAC2B608ADB}">
              <a16:predDERef xmlns:a16="http://schemas.microsoft.com/office/drawing/2014/main" pred="{427E04FE-E886-4275-9F7F-CD49CABC6E26}"/>
            </a:ext>
          </a:extLst>
        </xdr:cNvPr>
        <xdr:cNvSpPr/>
      </xdr:nvSpPr>
      <xdr:spPr>
        <a:xfrm>
          <a:off x="6111152" y="9867466"/>
          <a:ext cx="1434379" cy="360217"/>
        </a:xfrm>
        <a:prstGeom prst="rect">
          <a:avLst/>
        </a:prstGeom>
        <a:solidFill>
          <a:srgbClr val="91DFF7"/>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CA" sz="1100" b="1">
              <a:solidFill>
                <a:sysClr val="windowText" lastClr="000000"/>
              </a:solidFill>
            </a:rPr>
            <a:t>Budget</a:t>
          </a:r>
          <a:r>
            <a:rPr lang="fr-CA" sz="1100" b="1" baseline="0">
              <a:solidFill>
                <a:sysClr val="windowText" lastClr="000000"/>
              </a:solidFill>
            </a:rPr>
            <a:t> de trésorerie</a:t>
          </a:r>
          <a:endParaRPr lang="fr-CA" sz="1100" b="1">
            <a:solidFill>
              <a:sysClr val="windowText" lastClr="000000"/>
            </a:solidFill>
          </a:endParaRPr>
        </a:p>
      </xdr:txBody>
    </xdr:sp>
    <xdr:clientData/>
  </xdr:twoCellAnchor>
  <xdr:twoCellAnchor>
    <xdr:from>
      <xdr:col>8</xdr:col>
      <xdr:colOff>610034</xdr:colOff>
      <xdr:row>11</xdr:row>
      <xdr:rowOff>24245</xdr:rowOff>
    </xdr:from>
    <xdr:to>
      <xdr:col>10</xdr:col>
      <xdr:colOff>520413</xdr:colOff>
      <xdr:row>12</xdr:row>
      <xdr:rowOff>214744</xdr:rowOff>
    </xdr:to>
    <xdr:sp macro="" textlink="">
      <xdr:nvSpPr>
        <xdr:cNvPr id="12" name="Rectangle 11">
          <a:hlinkClick xmlns:r="http://schemas.openxmlformats.org/officeDocument/2006/relationships" r:id="rId4"/>
          <a:extLst>
            <a:ext uri="{FF2B5EF4-FFF2-40B4-BE49-F238E27FC236}">
              <a16:creationId xmlns:a16="http://schemas.microsoft.com/office/drawing/2014/main" id="{2BC73B87-3203-4C84-842D-03A2DD896253}"/>
            </a:ext>
            <a:ext uri="{147F2762-F138-4A5C-976F-8EAC2B608ADB}">
              <a16:predDERef xmlns:a16="http://schemas.microsoft.com/office/drawing/2014/main" pred="{41DF777F-3AD3-47F4-B393-689C8D84882F}"/>
            </a:ext>
          </a:extLst>
        </xdr:cNvPr>
        <xdr:cNvSpPr/>
      </xdr:nvSpPr>
      <xdr:spPr>
        <a:xfrm>
          <a:off x="6096434" y="4405745"/>
          <a:ext cx="1434379" cy="361949"/>
        </a:xfrm>
        <a:prstGeom prst="rect">
          <a:avLst/>
        </a:prstGeom>
        <a:solidFill>
          <a:srgbClr val="91DFF7"/>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CA" sz="1100" b="1">
              <a:solidFill>
                <a:sysClr val="windowText" lastClr="000000"/>
              </a:solidFill>
            </a:rPr>
            <a:t>Webinaire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0</xdr:colOff>
      <xdr:row>0</xdr:row>
      <xdr:rowOff>762000</xdr:rowOff>
    </xdr:to>
    <xdr:sp macro="" textlink="">
      <xdr:nvSpPr>
        <xdr:cNvPr id="2" name="ZoneTexte 2">
          <a:extLst>
            <a:ext uri="{FF2B5EF4-FFF2-40B4-BE49-F238E27FC236}">
              <a16:creationId xmlns:a16="http://schemas.microsoft.com/office/drawing/2014/main" id="{1AF30391-2A5E-431A-A245-78C0AF232B18}"/>
            </a:ext>
          </a:extLst>
        </xdr:cNvPr>
        <xdr:cNvSpPr txBox="1"/>
      </xdr:nvSpPr>
      <xdr:spPr>
        <a:xfrm>
          <a:off x="0" y="0"/>
          <a:ext cx="9103179" cy="762000"/>
        </a:xfrm>
        <a:prstGeom prst="rect">
          <a:avLst/>
        </a:prstGeom>
        <a:solidFill>
          <a:srgbClr val="0066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CA" sz="2400" b="1">
              <a:solidFill>
                <a:schemeClr val="bg1">
                  <a:lumMod val="95000"/>
                </a:schemeClr>
              </a:solidFill>
              <a:latin typeface="Aptos" panose="020B0004020202020204" pitchFamily="34" charset="0"/>
            </a:rPr>
            <a:t>DONNÉES TECHNIQUES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12</xdr:col>
      <xdr:colOff>1000125</xdr:colOff>
      <xdr:row>1</xdr:row>
      <xdr:rowOff>0</xdr:rowOff>
    </xdr:to>
    <xdr:sp macro="" textlink="">
      <xdr:nvSpPr>
        <xdr:cNvPr id="9" name="ZoneTexte 4">
          <a:extLst>
            <a:ext uri="{FF2B5EF4-FFF2-40B4-BE49-F238E27FC236}">
              <a16:creationId xmlns:a16="http://schemas.microsoft.com/office/drawing/2014/main" id="{1859C606-6994-49FF-8F07-F8FA286882E2}"/>
            </a:ext>
          </a:extLst>
        </xdr:cNvPr>
        <xdr:cNvSpPr txBox="1"/>
      </xdr:nvSpPr>
      <xdr:spPr>
        <a:xfrm>
          <a:off x="1" y="0"/>
          <a:ext cx="12039599" cy="990600"/>
        </a:xfrm>
        <a:prstGeom prst="rect">
          <a:avLst/>
        </a:prstGeom>
        <a:solidFill>
          <a:srgbClr val="0066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CA" sz="2400" b="1">
              <a:solidFill>
                <a:schemeClr val="bg1">
                  <a:lumMod val="95000"/>
                </a:schemeClr>
              </a:solidFill>
              <a:latin typeface="Aptos" panose="020B0004020202020204" pitchFamily="34" charset="0"/>
            </a:rPr>
            <a:t>BUDGET</a:t>
          </a:r>
          <a:r>
            <a:rPr lang="fr-CA" sz="2400" b="1" baseline="0">
              <a:solidFill>
                <a:schemeClr val="bg1">
                  <a:lumMod val="95000"/>
                </a:schemeClr>
              </a:solidFill>
              <a:latin typeface="Aptos" panose="020B0004020202020204" pitchFamily="34" charset="0"/>
            </a:rPr>
            <a:t> PARTIEL POUR L’ACHAT D’AGNELLES</a:t>
          </a:r>
          <a:endParaRPr lang="fr-CA" sz="2400" b="1">
            <a:solidFill>
              <a:schemeClr val="bg1">
                <a:lumMod val="95000"/>
              </a:schemeClr>
            </a:solidFill>
            <a:latin typeface="Aptos" panose="020B0004020202020204" pitchFamily="34" charset="0"/>
          </a:endParaRPr>
        </a:p>
      </xdr:txBody>
    </xdr:sp>
    <xdr:clientData/>
  </xdr:twoCellAnchor>
  <xdr:twoCellAnchor>
    <xdr:from>
      <xdr:col>9</xdr:col>
      <xdr:colOff>57150</xdr:colOff>
      <xdr:row>20</xdr:row>
      <xdr:rowOff>38100</xdr:rowOff>
    </xdr:from>
    <xdr:to>
      <xdr:col>11</xdr:col>
      <xdr:colOff>485775</xdr:colOff>
      <xdr:row>20</xdr:row>
      <xdr:rowOff>514350</xdr:rowOff>
    </xdr:to>
    <xdr:sp macro="" textlink="">
      <xdr:nvSpPr>
        <xdr:cNvPr id="10" name="Rectangle 9">
          <a:hlinkClick xmlns:r="http://schemas.openxmlformats.org/officeDocument/2006/relationships" r:id="rId1"/>
          <a:extLst>
            <a:ext uri="{FF2B5EF4-FFF2-40B4-BE49-F238E27FC236}">
              <a16:creationId xmlns:a16="http://schemas.microsoft.com/office/drawing/2014/main" id="{6F3F3920-4975-3A7E-E462-45CC9F76648E}"/>
            </a:ext>
          </a:extLst>
        </xdr:cNvPr>
        <xdr:cNvSpPr/>
      </xdr:nvSpPr>
      <xdr:spPr>
        <a:xfrm>
          <a:off x="7981950" y="4991100"/>
          <a:ext cx="1990725" cy="476250"/>
        </a:xfrm>
        <a:prstGeom prst="rect">
          <a:avLst/>
        </a:prstGeom>
        <a:solidFill>
          <a:srgbClr val="91DFF7"/>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CA" sz="1100" b="1">
              <a:solidFill>
                <a:sysClr val="windowText" lastClr="000000"/>
              </a:solidFill>
            </a:rPr>
            <a:t>Cliquez ici pour saisir</a:t>
          </a:r>
          <a:r>
            <a:rPr lang="fr-CA" sz="1100" b="1" baseline="0">
              <a:solidFill>
                <a:sysClr val="windowText" lastClr="000000"/>
              </a:solidFill>
            </a:rPr>
            <a:t> les informations de f</a:t>
          </a:r>
          <a:r>
            <a:rPr lang="fr-CA" sz="1100" b="1">
              <a:solidFill>
                <a:sysClr val="windowText" lastClr="000000"/>
              </a:solidFill>
            </a:rPr>
            <a:t>inancement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1181100</xdr:colOff>
      <xdr:row>0</xdr:row>
      <xdr:rowOff>914400</xdr:rowOff>
    </xdr:to>
    <xdr:sp macro="" textlink="">
      <xdr:nvSpPr>
        <xdr:cNvPr id="4" name="ZoneTexte 2">
          <a:extLst>
            <a:ext uri="{FF2B5EF4-FFF2-40B4-BE49-F238E27FC236}">
              <a16:creationId xmlns:a16="http://schemas.microsoft.com/office/drawing/2014/main" id="{696D6802-3C1C-4B91-B09A-20F710771A48}"/>
            </a:ext>
          </a:extLst>
        </xdr:cNvPr>
        <xdr:cNvSpPr txBox="1"/>
      </xdr:nvSpPr>
      <xdr:spPr>
        <a:xfrm>
          <a:off x="0" y="0"/>
          <a:ext cx="12753975" cy="914400"/>
        </a:xfrm>
        <a:prstGeom prst="rect">
          <a:avLst/>
        </a:prstGeom>
        <a:solidFill>
          <a:srgbClr val="0066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CA" sz="2400" b="1" cap="all" baseline="0">
              <a:solidFill>
                <a:schemeClr val="bg1">
                  <a:lumMod val="95000"/>
                </a:schemeClr>
              </a:solidFill>
              <a:latin typeface="Aptos" panose="020B0004020202020204" pitchFamily="34" charset="0"/>
            </a:rPr>
            <a:t>Budget partiel pour l’amélioration de performance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904876</xdr:colOff>
      <xdr:row>2</xdr:row>
      <xdr:rowOff>19051</xdr:rowOff>
    </xdr:from>
    <xdr:to>
      <xdr:col>6</xdr:col>
      <xdr:colOff>914401</xdr:colOff>
      <xdr:row>6</xdr:row>
      <xdr:rowOff>28575</xdr:rowOff>
    </xdr:to>
    <xdr:sp macro="" textlink="">
      <xdr:nvSpPr>
        <xdr:cNvPr id="3" name="Rectangle 1">
          <a:hlinkClick xmlns:r="http://schemas.openxmlformats.org/officeDocument/2006/relationships" r:id="rId1"/>
          <a:extLst>
            <a:ext uri="{FF2B5EF4-FFF2-40B4-BE49-F238E27FC236}">
              <a16:creationId xmlns:a16="http://schemas.microsoft.com/office/drawing/2014/main" id="{52B229B4-857C-4188-B418-55A824FA8332}"/>
            </a:ext>
          </a:extLst>
        </xdr:cNvPr>
        <xdr:cNvSpPr/>
      </xdr:nvSpPr>
      <xdr:spPr>
        <a:xfrm>
          <a:off x="5857876" y="1171576"/>
          <a:ext cx="1809750" cy="676274"/>
        </a:xfrm>
        <a:prstGeom prst="rect">
          <a:avLst/>
        </a:prstGeom>
        <a:solidFill>
          <a:srgbClr val="91DFF7"/>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solidFill>
                <a:schemeClr val="tx1"/>
              </a:solidFill>
            </a:rPr>
            <a:t>Cliquez ici pour retourner</a:t>
          </a:r>
          <a:r>
            <a:rPr lang="en-CA" sz="1100" b="1" baseline="0">
              <a:solidFill>
                <a:schemeClr val="tx1"/>
              </a:solidFill>
            </a:rPr>
            <a:t> </a:t>
          </a:r>
          <a:r>
            <a:rPr lang="en-CA" sz="1100" b="1" baseline="0">
              <a:solidFill>
                <a:sysClr val="windowText" lastClr="000000"/>
              </a:solidFill>
            </a:rPr>
            <a:t>à l’onglet BUDGET – Acheter ou produire</a:t>
          </a:r>
          <a:endParaRPr lang="en-CA" sz="1100" b="1">
            <a:solidFill>
              <a:sysClr val="windowText" lastClr="000000"/>
            </a:solidFill>
          </a:endParaRPr>
        </a:p>
      </xdr:txBody>
    </xdr:sp>
    <xdr:clientData/>
  </xdr:twoCellAnchor>
  <xdr:twoCellAnchor>
    <xdr:from>
      <xdr:col>0</xdr:col>
      <xdr:colOff>0</xdr:colOff>
      <xdr:row>0</xdr:row>
      <xdr:rowOff>0</xdr:rowOff>
    </xdr:from>
    <xdr:to>
      <xdr:col>6</xdr:col>
      <xdr:colOff>1018443</xdr:colOff>
      <xdr:row>0</xdr:row>
      <xdr:rowOff>762000</xdr:rowOff>
    </xdr:to>
    <xdr:sp macro="" textlink="">
      <xdr:nvSpPr>
        <xdr:cNvPr id="5" name="ZoneTexte 3">
          <a:extLst>
            <a:ext uri="{FF2B5EF4-FFF2-40B4-BE49-F238E27FC236}">
              <a16:creationId xmlns:a16="http://schemas.microsoft.com/office/drawing/2014/main" id="{D7BA792E-7F88-4FED-85FC-4D67C06EA7D3}"/>
            </a:ext>
          </a:extLst>
        </xdr:cNvPr>
        <xdr:cNvSpPr txBox="1"/>
      </xdr:nvSpPr>
      <xdr:spPr>
        <a:xfrm>
          <a:off x="0" y="0"/>
          <a:ext cx="7568712" cy="762000"/>
        </a:xfrm>
        <a:prstGeom prst="rect">
          <a:avLst/>
        </a:prstGeom>
        <a:solidFill>
          <a:srgbClr val="0066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CA" sz="2400" b="1" cap="all" baseline="0">
              <a:solidFill>
                <a:schemeClr val="bg1">
                  <a:lumMod val="95000"/>
                </a:schemeClr>
              </a:solidFill>
              <a:latin typeface="Aptos" panose="020B0004020202020204" pitchFamily="34" charset="0"/>
            </a:rPr>
            <a:t>FINANCEMENT DES AGNELLES</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fadq.qc.ca/statistiques/assurance-stabilisation/informations-administrative-et-economiqu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genovis.ca/wp-content/uploads/2019/06/Repartition-des-EPD-selon-leur-rang-centile_Juillet-2018.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A10DC-7CF9-48DD-A9A4-572B42DAD076}">
  <dimension ref="B1:L69"/>
  <sheetViews>
    <sheetView showGridLines="0" tabSelected="1" zoomScale="110" zoomScaleNormal="110" workbookViewId="0">
      <selection activeCell="N52" sqref="N52"/>
    </sheetView>
  </sheetViews>
  <sheetFormatPr baseColWidth="10" defaultColWidth="11.46484375" defaultRowHeight="14.25" x14ac:dyDescent="0.45"/>
  <cols>
    <col min="1" max="1" width="2.33203125" style="22" customWidth="1"/>
    <col min="2" max="16384" width="11.46484375" style="22"/>
  </cols>
  <sheetData>
    <row r="1" spans="2:12" ht="132" customHeight="1" x14ac:dyDescent="0.45">
      <c r="J1" s="23"/>
    </row>
    <row r="2" spans="2:12" ht="23.25" x14ac:dyDescent="0.7">
      <c r="B2" s="325" t="s">
        <v>0</v>
      </c>
      <c r="C2" s="325"/>
      <c r="D2" s="325"/>
      <c r="E2" s="325"/>
      <c r="F2" s="325"/>
      <c r="G2" s="325"/>
      <c r="H2" s="325"/>
      <c r="J2" s="24"/>
    </row>
    <row r="3" spans="2:12" ht="23.25" x14ac:dyDescent="0.7">
      <c r="B3" s="25"/>
      <c r="C3" s="25"/>
      <c r="D3" s="25"/>
      <c r="E3" s="25"/>
      <c r="F3" s="25"/>
      <c r="G3" s="25"/>
      <c r="H3" s="25"/>
    </row>
    <row r="4" spans="2:12" ht="23.25" x14ac:dyDescent="0.7">
      <c r="B4" s="25"/>
      <c r="C4" s="25"/>
      <c r="D4" s="25"/>
      <c r="E4" s="25"/>
      <c r="F4" s="25"/>
      <c r="G4" s="25"/>
      <c r="H4" s="25"/>
    </row>
    <row r="5" spans="2:12" ht="23.25" x14ac:dyDescent="0.7">
      <c r="B5" s="25"/>
      <c r="C5" s="25"/>
      <c r="D5" s="25"/>
      <c r="E5" s="25"/>
      <c r="F5" s="25"/>
      <c r="G5" s="25"/>
      <c r="H5" s="25"/>
    </row>
    <row r="6" spans="2:12" ht="23.25" x14ac:dyDescent="0.7">
      <c r="B6" s="25"/>
      <c r="C6" s="25"/>
      <c r="D6" s="25"/>
      <c r="E6" s="25"/>
      <c r="F6" s="25"/>
      <c r="G6" s="25"/>
      <c r="H6" s="25"/>
    </row>
    <row r="7" spans="2:12" ht="23.25" x14ac:dyDescent="0.7">
      <c r="B7" s="25"/>
      <c r="C7" s="25"/>
      <c r="D7" s="25"/>
      <c r="E7" s="25"/>
      <c r="F7" s="25"/>
      <c r="G7" s="25"/>
      <c r="H7" s="25"/>
    </row>
    <row r="8" spans="2:12" ht="10.5" customHeight="1" x14ac:dyDescent="0.7">
      <c r="B8" s="25"/>
      <c r="C8" s="25"/>
      <c r="D8" s="25"/>
      <c r="E8" s="25"/>
      <c r="F8" s="25"/>
      <c r="G8" s="25"/>
      <c r="H8" s="25"/>
    </row>
    <row r="9" spans="2:12" ht="23.25" x14ac:dyDescent="0.7">
      <c r="B9" s="325" t="s">
        <v>1</v>
      </c>
      <c r="C9" s="325"/>
      <c r="D9" s="325"/>
      <c r="E9" s="325"/>
      <c r="F9" s="325"/>
      <c r="G9" s="325"/>
      <c r="H9" s="325"/>
    </row>
    <row r="10" spans="2:12" ht="23.25" x14ac:dyDescent="0.7">
      <c r="B10" s="25"/>
      <c r="C10" s="25"/>
      <c r="D10" s="25"/>
      <c r="E10" s="25"/>
      <c r="F10" s="25"/>
      <c r="G10" s="25"/>
      <c r="H10" s="25"/>
      <c r="L10" s="312"/>
    </row>
    <row r="11" spans="2:12" ht="23.25" x14ac:dyDescent="0.7">
      <c r="B11" s="25"/>
      <c r="C11" s="25"/>
      <c r="D11" s="25"/>
      <c r="E11" s="25"/>
      <c r="F11" s="25"/>
      <c r="G11" s="25"/>
      <c r="H11" s="25"/>
    </row>
    <row r="13" spans="2:12" ht="23.25" x14ac:dyDescent="0.7">
      <c r="B13" s="25"/>
      <c r="C13" s="25"/>
      <c r="D13" s="25"/>
      <c r="E13" s="25"/>
      <c r="F13" s="25"/>
      <c r="G13" s="25"/>
      <c r="H13" s="25"/>
    </row>
    <row r="14" spans="2:12" ht="23.25" x14ac:dyDescent="0.7">
      <c r="B14" s="25"/>
      <c r="C14" s="25"/>
      <c r="D14" s="25"/>
      <c r="E14" s="25"/>
      <c r="F14" s="25"/>
      <c r="G14" s="25"/>
      <c r="H14" s="25"/>
    </row>
    <row r="16" spans="2:12" ht="23.25" x14ac:dyDescent="0.7">
      <c r="B16" s="25"/>
      <c r="C16" s="25"/>
      <c r="D16" s="25"/>
      <c r="E16" s="25"/>
      <c r="F16" s="25"/>
      <c r="G16" s="25"/>
      <c r="H16" s="25"/>
    </row>
    <row r="17" spans="2:8" ht="15.75" customHeight="1" x14ac:dyDescent="0.45"/>
    <row r="18" spans="2:8" ht="39.950000000000003" customHeight="1" x14ac:dyDescent="0.7">
      <c r="B18" s="26" t="s">
        <v>2</v>
      </c>
      <c r="C18" s="27"/>
      <c r="D18" s="27"/>
      <c r="E18" s="27"/>
      <c r="F18" s="27"/>
      <c r="G18" s="27"/>
      <c r="H18" s="27"/>
    </row>
    <row r="35" spans="2:8" ht="22.5" customHeight="1" x14ac:dyDescent="0.7">
      <c r="B35" s="25"/>
      <c r="C35" s="25"/>
      <c r="D35" s="25"/>
      <c r="E35" s="25"/>
      <c r="F35" s="25"/>
      <c r="G35" s="25"/>
      <c r="H35" s="25"/>
    </row>
    <row r="36" spans="2:8" ht="23.25" x14ac:dyDescent="0.7">
      <c r="B36" s="25"/>
      <c r="C36" s="25"/>
      <c r="D36" s="25"/>
      <c r="E36" s="25"/>
      <c r="F36" s="25"/>
      <c r="G36" s="25"/>
      <c r="H36" s="25"/>
    </row>
    <row r="69" spans="11:11" x14ac:dyDescent="0.45">
      <c r="K69"/>
    </row>
  </sheetData>
  <sheetProtection sheet="1" formatColumns="0"/>
  <mergeCells count="2">
    <mergeCell ref="B2:H2"/>
    <mergeCell ref="B9:H9"/>
  </mergeCells>
  <pageMargins left="0.70866141732283472" right="0.70866141732283472" top="0.39370078740157483" bottom="0.35433070866141736" header="0.31496062992125984" footer="0.31496062992125984"/>
  <pageSetup orientation="landscape" horizontalDpi="4294967295" verticalDpi="4294967295" r:id="rId1"/>
  <rowBreaks count="1" manualBreakCount="1">
    <brk id="17"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5A62E-999E-4518-88D5-FB582A6B71D9}">
  <dimension ref="A1:H48"/>
  <sheetViews>
    <sheetView showGridLines="0" topLeftCell="A23" zoomScaleNormal="100" workbookViewId="0">
      <selection activeCell="I35" sqref="I35"/>
    </sheetView>
  </sheetViews>
  <sheetFormatPr baseColWidth="10" defaultColWidth="11.46484375" defaultRowHeight="14.25" x14ac:dyDescent="0.45"/>
  <cols>
    <col min="1" max="1" width="65.6640625" style="28" customWidth="1"/>
    <col min="2" max="2" width="12.6640625" style="28" customWidth="1"/>
    <col min="3" max="3" width="13.6640625" style="28" customWidth="1"/>
    <col min="4" max="4" width="9.1328125" style="28" customWidth="1"/>
    <col min="5" max="5" width="12.33203125" style="28" customWidth="1"/>
    <col min="6" max="6" width="7.53125" style="28" customWidth="1"/>
    <col min="7" max="7" width="8.33203125" style="28" customWidth="1"/>
    <col min="8" max="8" width="29.46484375" style="28" customWidth="1"/>
    <col min="9" max="9" width="12" style="28" customWidth="1"/>
    <col min="10" max="16384" width="11.46484375" style="28"/>
  </cols>
  <sheetData>
    <row r="1" spans="1:7" ht="64.5" customHeight="1" x14ac:dyDescent="0.45">
      <c r="A1" s="29"/>
    </row>
    <row r="2" spans="1:7" ht="28.5" customHeight="1" x14ac:dyDescent="0.45">
      <c r="A2" s="326" t="s">
        <v>158</v>
      </c>
      <c r="B2" s="326"/>
      <c r="C2" s="326"/>
      <c r="D2" s="326"/>
      <c r="E2" s="326"/>
      <c r="F2" s="326"/>
      <c r="G2" s="326"/>
    </row>
    <row r="3" spans="1:7" ht="14.65" thickBot="1" x14ac:dyDescent="0.5">
      <c r="A3" s="30"/>
      <c r="C3" s="33"/>
    </row>
    <row r="4" spans="1:7" x14ac:dyDescent="0.45">
      <c r="A4" s="44" t="s">
        <v>3</v>
      </c>
      <c r="B4" s="296">
        <v>250</v>
      </c>
      <c r="C4" s="45" t="s">
        <v>4</v>
      </c>
      <c r="D4" s="45"/>
      <c r="E4" s="45"/>
      <c r="F4" s="45"/>
      <c r="G4" s="46"/>
    </row>
    <row r="5" spans="1:7" x14ac:dyDescent="0.45">
      <c r="A5" s="47" t="s">
        <v>5</v>
      </c>
      <c r="B5" s="321">
        <v>0.2</v>
      </c>
      <c r="C5" s="48"/>
      <c r="D5" s="48"/>
      <c r="E5" s="48"/>
      <c r="F5" s="48"/>
      <c r="G5" s="49"/>
    </row>
    <row r="6" spans="1:7" x14ac:dyDescent="0.45">
      <c r="A6" s="47" t="s">
        <v>6</v>
      </c>
      <c r="B6" s="321">
        <v>0.7</v>
      </c>
      <c r="C6" s="48"/>
      <c r="D6" s="48"/>
      <c r="E6" s="48"/>
      <c r="F6" s="48"/>
      <c r="G6" s="49"/>
    </row>
    <row r="7" spans="1:7" x14ac:dyDescent="0.45">
      <c r="A7" s="317" t="s">
        <v>7</v>
      </c>
      <c r="B7" s="321">
        <v>0.2</v>
      </c>
      <c r="C7" s="48"/>
      <c r="D7" s="48"/>
      <c r="E7" s="48"/>
      <c r="F7" s="48"/>
      <c r="G7" s="49"/>
    </row>
    <row r="8" spans="1:7" x14ac:dyDescent="0.45">
      <c r="A8" s="317" t="s">
        <v>8</v>
      </c>
      <c r="B8" s="321">
        <v>0.1</v>
      </c>
      <c r="C8" s="48"/>
      <c r="D8" s="48"/>
      <c r="E8" s="48"/>
      <c r="F8" s="48"/>
      <c r="G8" s="49"/>
    </row>
    <row r="9" spans="1:7" x14ac:dyDescent="0.45">
      <c r="A9" s="317" t="s">
        <v>9</v>
      </c>
      <c r="B9" s="321">
        <f>SUM(B6:B8)</f>
        <v>0.99999999999999989</v>
      </c>
      <c r="C9" s="48"/>
      <c r="D9" s="48"/>
      <c r="E9" s="48"/>
      <c r="F9" s="48"/>
      <c r="G9" s="49"/>
    </row>
    <row r="10" spans="1:7" x14ac:dyDescent="0.45">
      <c r="A10" s="317" t="s">
        <v>10</v>
      </c>
      <c r="B10" s="297">
        <v>4</v>
      </c>
      <c r="C10" s="48" t="s">
        <v>11</v>
      </c>
      <c r="D10" s="48"/>
      <c r="E10" s="48"/>
      <c r="F10" s="48"/>
      <c r="G10" s="49"/>
    </row>
    <row r="11" spans="1:7" x14ac:dyDescent="0.45">
      <c r="A11" s="317" t="s">
        <v>12</v>
      </c>
      <c r="B11" s="297">
        <v>55</v>
      </c>
      <c r="C11" s="318" t="s">
        <v>13</v>
      </c>
      <c r="D11" s="48">
        <f>B11/2.2</f>
        <v>24.999999999999996</v>
      </c>
      <c r="E11" s="48" t="s">
        <v>14</v>
      </c>
      <c r="F11" s="48"/>
      <c r="G11" s="49"/>
    </row>
    <row r="12" spans="1:7" x14ac:dyDescent="0.45">
      <c r="A12" s="317" t="s">
        <v>15</v>
      </c>
      <c r="B12" s="297">
        <v>70</v>
      </c>
      <c r="C12" s="318" t="s">
        <v>13</v>
      </c>
      <c r="D12" s="50">
        <f>B12/2.2</f>
        <v>31.818181818181817</v>
      </c>
      <c r="E12" s="48" t="s">
        <v>14</v>
      </c>
      <c r="F12" s="48"/>
      <c r="G12" s="49"/>
    </row>
    <row r="13" spans="1:7" x14ac:dyDescent="0.45">
      <c r="A13" s="317" t="s">
        <v>16</v>
      </c>
      <c r="B13" s="51">
        <f>D13*2.2</f>
        <v>48.400000000000006</v>
      </c>
      <c r="C13" s="318" t="s">
        <v>17</v>
      </c>
      <c r="D13" s="298">
        <v>22</v>
      </c>
      <c r="E13" s="48" t="s">
        <v>18</v>
      </c>
      <c r="F13" s="50">
        <f>D13/0.465</f>
        <v>47.311827956989248</v>
      </c>
      <c r="G13" s="49" t="s">
        <v>14</v>
      </c>
    </row>
    <row r="14" spans="1:7" x14ac:dyDescent="0.45">
      <c r="A14" s="317" t="s">
        <v>19</v>
      </c>
      <c r="B14" s="297">
        <v>343</v>
      </c>
      <c r="C14" s="48" t="s">
        <v>20</v>
      </c>
      <c r="D14" s="48"/>
      <c r="E14" s="48"/>
      <c r="F14" s="50"/>
      <c r="G14" s="49"/>
    </row>
    <row r="15" spans="1:7" x14ac:dyDescent="0.45">
      <c r="A15" s="47" t="s">
        <v>21</v>
      </c>
      <c r="B15" s="299">
        <v>4.3</v>
      </c>
      <c r="C15" s="48" t="s">
        <v>22</v>
      </c>
      <c r="D15" s="48"/>
      <c r="E15" s="48"/>
      <c r="F15" s="48"/>
      <c r="G15" s="49"/>
    </row>
    <row r="16" spans="1:7" x14ac:dyDescent="0.45">
      <c r="A16" s="47" t="s">
        <v>23</v>
      </c>
      <c r="B16" s="299">
        <v>3.76</v>
      </c>
      <c r="C16" s="48" t="s">
        <v>22</v>
      </c>
      <c r="D16" s="48"/>
      <c r="E16" s="48"/>
      <c r="F16" s="48"/>
      <c r="G16" s="49"/>
    </row>
    <row r="17" spans="1:7" x14ac:dyDescent="0.45">
      <c r="A17" s="317" t="s">
        <v>24</v>
      </c>
      <c r="B17" s="299">
        <v>13</v>
      </c>
      <c r="C17" s="48" t="s">
        <v>25</v>
      </c>
      <c r="D17" s="48"/>
      <c r="E17" s="48"/>
      <c r="F17" s="48"/>
      <c r="G17" s="49"/>
    </row>
    <row r="18" spans="1:7" ht="15.75" x14ac:dyDescent="0.45">
      <c r="A18" s="317" t="s">
        <v>26</v>
      </c>
      <c r="B18" s="299">
        <v>9</v>
      </c>
      <c r="C18" s="48" t="s">
        <v>27</v>
      </c>
      <c r="D18" s="48"/>
      <c r="E18" s="48"/>
      <c r="F18" s="48"/>
      <c r="G18" s="49"/>
    </row>
    <row r="19" spans="1:7" x14ac:dyDescent="0.45">
      <c r="A19" s="317" t="s">
        <v>28</v>
      </c>
      <c r="B19" s="299">
        <v>7.75</v>
      </c>
      <c r="C19" s="48" t="s">
        <v>27</v>
      </c>
      <c r="D19" s="52"/>
      <c r="E19" s="48"/>
      <c r="F19" s="48"/>
      <c r="G19" s="49"/>
    </row>
    <row r="20" spans="1:7" ht="15.75" x14ac:dyDescent="0.45">
      <c r="A20" s="317" t="s">
        <v>29</v>
      </c>
      <c r="B20" s="299">
        <v>8</v>
      </c>
      <c r="C20" s="48" t="s">
        <v>27</v>
      </c>
      <c r="D20" s="48"/>
      <c r="E20" s="48"/>
      <c r="F20" s="48"/>
      <c r="G20" s="49"/>
    </row>
    <row r="21" spans="1:7" x14ac:dyDescent="0.45">
      <c r="A21" s="317" t="s">
        <v>30</v>
      </c>
      <c r="B21" s="299">
        <v>8</v>
      </c>
      <c r="C21" s="48" t="s">
        <v>27</v>
      </c>
      <c r="D21" s="48"/>
      <c r="E21" s="48"/>
      <c r="F21" s="48"/>
      <c r="G21" s="49"/>
    </row>
    <row r="22" spans="1:7" ht="15.75" x14ac:dyDescent="0.45">
      <c r="A22" s="317" t="s">
        <v>31</v>
      </c>
      <c r="B22" s="299">
        <v>8</v>
      </c>
      <c r="C22" s="48" t="s">
        <v>27</v>
      </c>
      <c r="D22" s="48"/>
      <c r="E22" s="48"/>
      <c r="F22" s="48"/>
      <c r="G22" s="49"/>
    </row>
    <row r="23" spans="1:7" x14ac:dyDescent="0.45">
      <c r="A23" s="317" t="s">
        <v>32</v>
      </c>
      <c r="B23" s="299">
        <v>8</v>
      </c>
      <c r="C23" s="48" t="s">
        <v>27</v>
      </c>
      <c r="D23" s="48"/>
      <c r="E23" s="48"/>
      <c r="F23" s="48"/>
      <c r="G23" s="49"/>
    </row>
    <row r="24" spans="1:7" x14ac:dyDescent="0.45">
      <c r="A24" s="317" t="s">
        <v>33</v>
      </c>
      <c r="B24" s="299">
        <v>0.6</v>
      </c>
      <c r="C24" s="48" t="s">
        <v>27</v>
      </c>
      <c r="D24" s="48"/>
      <c r="E24" s="48"/>
      <c r="F24" s="48"/>
      <c r="G24" s="49"/>
    </row>
    <row r="25" spans="1:7" x14ac:dyDescent="0.45">
      <c r="A25" s="317" t="s">
        <v>34</v>
      </c>
      <c r="B25" s="300">
        <v>450</v>
      </c>
      <c r="C25" s="48" t="s">
        <v>35</v>
      </c>
      <c r="D25" s="48"/>
      <c r="E25" s="48"/>
      <c r="F25" s="48"/>
      <c r="G25" s="49"/>
    </row>
    <row r="26" spans="1:7" x14ac:dyDescent="0.45">
      <c r="A26" s="47" t="s">
        <v>36</v>
      </c>
      <c r="B26" s="300">
        <v>20</v>
      </c>
      <c r="C26" s="48" t="s">
        <v>35</v>
      </c>
      <c r="D26" s="48"/>
      <c r="E26" s="48"/>
      <c r="F26" s="48"/>
      <c r="G26" s="49"/>
    </row>
    <row r="27" spans="1:7" x14ac:dyDescent="0.45">
      <c r="A27" s="47" t="s">
        <v>37</v>
      </c>
      <c r="B27" s="300">
        <v>1200</v>
      </c>
      <c r="C27" s="48" t="s">
        <v>38</v>
      </c>
      <c r="D27" s="48"/>
      <c r="E27" s="48"/>
      <c r="F27" s="48"/>
      <c r="G27" s="49"/>
    </row>
    <row r="28" spans="1:7" x14ac:dyDescent="0.45">
      <c r="A28" s="53" t="s">
        <v>39</v>
      </c>
      <c r="B28" s="301">
        <v>4</v>
      </c>
      <c r="C28" s="48" t="s">
        <v>40</v>
      </c>
      <c r="D28" s="48"/>
      <c r="E28" s="48"/>
      <c r="F28" s="48"/>
      <c r="G28" s="49"/>
    </row>
    <row r="29" spans="1:7" x14ac:dyDescent="0.45">
      <c r="A29" s="47" t="s">
        <v>41</v>
      </c>
      <c r="B29" s="301">
        <v>6</v>
      </c>
      <c r="C29" s="48" t="s">
        <v>42</v>
      </c>
      <c r="D29" s="48">
        <f>B29*30</f>
        <v>180</v>
      </c>
      <c r="E29" s="48" t="s">
        <v>43</v>
      </c>
      <c r="F29" s="48"/>
      <c r="G29" s="49"/>
    </row>
    <row r="30" spans="1:7" x14ac:dyDescent="0.45">
      <c r="A30" s="47" t="s">
        <v>44</v>
      </c>
      <c r="B30" s="321">
        <v>0.85</v>
      </c>
      <c r="C30" s="48"/>
      <c r="D30" s="48"/>
      <c r="E30" s="48"/>
      <c r="F30" s="48"/>
      <c r="G30" s="49"/>
    </row>
    <row r="31" spans="1:7" ht="15.75" x14ac:dyDescent="0.45">
      <c r="A31" s="54" t="s">
        <v>45</v>
      </c>
      <c r="B31" s="299">
        <v>46.53</v>
      </c>
      <c r="C31" s="48" t="s">
        <v>27</v>
      </c>
      <c r="D31" s="48"/>
      <c r="E31" s="48"/>
      <c r="F31" s="48"/>
      <c r="G31" s="49"/>
    </row>
    <row r="32" spans="1:7" ht="15.75" x14ac:dyDescent="0.45">
      <c r="A32" s="54" t="s">
        <v>46</v>
      </c>
      <c r="B32" s="302">
        <v>1.0815999999999999</v>
      </c>
      <c r="C32" s="48" t="s">
        <v>47</v>
      </c>
      <c r="D32" s="48"/>
      <c r="E32" s="48"/>
      <c r="F32" s="48"/>
      <c r="G32" s="49"/>
    </row>
    <row r="33" spans="1:8" ht="15.75" x14ac:dyDescent="0.45">
      <c r="A33" s="54" t="s">
        <v>48</v>
      </c>
      <c r="B33" s="303">
        <v>1.32</v>
      </c>
      <c r="C33" s="48" t="s">
        <v>49</v>
      </c>
      <c r="D33" s="48"/>
      <c r="E33" s="48"/>
      <c r="F33" s="48"/>
      <c r="G33" s="49"/>
    </row>
    <row r="34" spans="1:8" x14ac:dyDescent="0.45">
      <c r="A34" s="47" t="s">
        <v>50</v>
      </c>
      <c r="B34" s="298">
        <v>2.2000000000000002</v>
      </c>
      <c r="C34" s="327" t="s">
        <v>51</v>
      </c>
      <c r="D34" s="327"/>
      <c r="E34" s="48"/>
      <c r="F34" s="48"/>
      <c r="G34" s="49"/>
    </row>
    <row r="35" spans="1:8" x14ac:dyDescent="0.45">
      <c r="A35" s="47" t="s">
        <v>52</v>
      </c>
      <c r="B35" s="321">
        <v>0.2</v>
      </c>
      <c r="C35" s="48"/>
      <c r="D35" s="48"/>
      <c r="E35" s="48"/>
      <c r="F35" s="48"/>
      <c r="G35" s="49"/>
    </row>
    <row r="36" spans="1:8" x14ac:dyDescent="0.45">
      <c r="A36" s="47" t="s">
        <v>53</v>
      </c>
      <c r="B36" s="55">
        <f>B34-(B34*B35)</f>
        <v>1.7600000000000002</v>
      </c>
      <c r="C36" s="327" t="s">
        <v>54</v>
      </c>
      <c r="D36" s="327"/>
      <c r="E36" s="48"/>
      <c r="F36" s="48"/>
      <c r="G36" s="49"/>
    </row>
    <row r="37" spans="1:8" ht="15.75" x14ac:dyDescent="0.45">
      <c r="A37" s="47" t="s">
        <v>155</v>
      </c>
      <c r="B37" s="48">
        <f>B4*B36</f>
        <v>440.00000000000006</v>
      </c>
      <c r="C37" s="48" t="s">
        <v>55</v>
      </c>
      <c r="D37" s="48"/>
      <c r="E37" s="48"/>
      <c r="F37" s="48"/>
      <c r="G37" s="49"/>
    </row>
    <row r="38" spans="1:8" x14ac:dyDescent="0.45">
      <c r="A38" s="47" t="s">
        <v>156</v>
      </c>
      <c r="B38" s="48">
        <f>B37-(B37*B5)</f>
        <v>352.00000000000006</v>
      </c>
      <c r="C38" s="48" t="s">
        <v>55</v>
      </c>
      <c r="D38" s="48"/>
      <c r="E38" s="48"/>
      <c r="F38" s="48"/>
      <c r="G38" s="49"/>
    </row>
    <row r="39" spans="1:8" x14ac:dyDescent="0.45">
      <c r="A39" s="319" t="s">
        <v>56</v>
      </c>
      <c r="B39" s="304">
        <v>15</v>
      </c>
      <c r="C39" s="48" t="s">
        <v>57</v>
      </c>
      <c r="D39" s="48"/>
      <c r="E39" s="48"/>
      <c r="F39" s="48"/>
      <c r="G39" s="49"/>
    </row>
    <row r="40" spans="1:8" ht="16.149999999999999" thickBot="1" x14ac:dyDescent="0.5">
      <c r="A40" s="56" t="s">
        <v>58</v>
      </c>
      <c r="B40" s="305">
        <v>3</v>
      </c>
      <c r="C40" s="57" t="s">
        <v>59</v>
      </c>
      <c r="D40" s="57"/>
      <c r="E40" s="57"/>
      <c r="F40" s="57"/>
      <c r="G40" s="58"/>
    </row>
    <row r="41" spans="1:8" x14ac:dyDescent="0.45">
      <c r="B41" s="32"/>
    </row>
    <row r="42" spans="1:8" ht="14.65" thickBot="1" x14ac:dyDescent="0.5">
      <c r="B42" s="32"/>
    </row>
    <row r="43" spans="1:8" s="31" customFormat="1" x14ac:dyDescent="0.45">
      <c r="A43" s="36" t="s">
        <v>60</v>
      </c>
      <c r="B43" s="37"/>
      <c r="C43" s="38"/>
      <c r="D43" s="38"/>
      <c r="E43" s="38"/>
      <c r="F43" s="38"/>
      <c r="G43" s="39"/>
    </row>
    <row r="44" spans="1:8" s="31" customFormat="1" ht="19.5" customHeight="1" x14ac:dyDescent="0.45">
      <c r="A44" s="335" t="s">
        <v>61</v>
      </c>
      <c r="B44" s="336"/>
      <c r="C44" s="336"/>
      <c r="D44" s="336"/>
      <c r="E44" s="336"/>
      <c r="G44" s="40"/>
    </row>
    <row r="45" spans="1:8" s="31" customFormat="1" ht="15" customHeight="1" x14ac:dyDescent="0.45">
      <c r="A45" s="332" t="s">
        <v>62</v>
      </c>
      <c r="B45" s="333"/>
      <c r="C45" s="333"/>
      <c r="D45" s="333"/>
      <c r="E45" s="333"/>
      <c r="F45" s="333"/>
      <c r="G45" s="334"/>
      <c r="H45" s="35"/>
    </row>
    <row r="46" spans="1:8" s="31" customFormat="1" ht="34.5" customHeight="1" x14ac:dyDescent="0.45">
      <c r="A46" s="330" t="s">
        <v>159</v>
      </c>
      <c r="B46" s="331"/>
      <c r="C46" s="331"/>
      <c r="D46" s="331"/>
      <c r="E46" s="331"/>
      <c r="F46" s="331"/>
      <c r="G46" s="41"/>
      <c r="H46" s="34"/>
    </row>
    <row r="47" spans="1:8" s="31" customFormat="1" ht="15" customHeight="1" x14ac:dyDescent="0.45">
      <c r="A47" s="320" t="s">
        <v>63</v>
      </c>
      <c r="G47" s="40"/>
    </row>
    <row r="48" spans="1:8" s="31" customFormat="1" ht="36.75" customHeight="1" thickBot="1" x14ac:dyDescent="0.5">
      <c r="A48" s="328" t="s">
        <v>64</v>
      </c>
      <c r="B48" s="329"/>
      <c r="C48" s="329"/>
      <c r="D48" s="329"/>
      <c r="E48" s="329"/>
      <c r="F48" s="42"/>
      <c r="G48" s="43"/>
    </row>
  </sheetData>
  <sheetProtection sheet="1" formatColumns="0"/>
  <mergeCells count="7">
    <mergeCell ref="A2:G2"/>
    <mergeCell ref="C36:D36"/>
    <mergeCell ref="C34:D34"/>
    <mergeCell ref="A48:E48"/>
    <mergeCell ref="A46:F46"/>
    <mergeCell ref="A45:G45"/>
    <mergeCell ref="A44:E44"/>
  </mergeCells>
  <hyperlinks>
    <hyperlink ref="A45" r:id="rId1" display="https://www.fadq.qc.ca/statistiques/assurance-stabilisation/informations-administrative-et-economique" xr:uid="{58DB768F-EDB8-4F0A-8FB7-178C62A95B98}"/>
  </hyperlinks>
  <pageMargins left="0.39370078740157483" right="0.39370078740157483" top="0.39370078740157483" bottom="0.51181102362204722" header="0.31496062992125984" footer="0.31496062992125984"/>
  <pageSetup orientation="landscape" r:id="rId2"/>
  <ignoredErrors>
    <ignoredError sqref="B9" formulaRange="1"/>
  </ignoredError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A5B3E-3F47-48FA-AF60-F6A4C421711F}">
  <dimension ref="A1:Q25"/>
  <sheetViews>
    <sheetView workbookViewId="0">
      <selection activeCell="B16" sqref="B16"/>
    </sheetView>
  </sheetViews>
  <sheetFormatPr baseColWidth="10" defaultColWidth="11.46484375" defaultRowHeight="14.25" x14ac:dyDescent="0.45"/>
  <cols>
    <col min="1" max="1" width="32.33203125" bestFit="1" customWidth="1"/>
    <col min="2" max="2" width="15.86328125" customWidth="1"/>
    <col min="5" max="5" width="32" bestFit="1" customWidth="1"/>
    <col min="9" max="9" width="32" bestFit="1" customWidth="1"/>
    <col min="12" max="12" width="34.53125" customWidth="1"/>
  </cols>
  <sheetData>
    <row r="1" spans="1:17" x14ac:dyDescent="0.45">
      <c r="A1" s="5" t="s">
        <v>65</v>
      </c>
      <c r="B1" s="5"/>
      <c r="C1" s="5"/>
    </row>
    <row r="2" spans="1:17" x14ac:dyDescent="0.45">
      <c r="A2" t="s">
        <v>3</v>
      </c>
      <c r="B2">
        <f>'Données techniques'!B4</f>
        <v>250</v>
      </c>
      <c r="E2" s="4"/>
      <c r="F2" s="16"/>
      <c r="G2" s="4"/>
      <c r="H2" s="4"/>
      <c r="I2" s="4"/>
      <c r="J2" s="16"/>
    </row>
    <row r="3" spans="1:17" x14ac:dyDescent="0.45">
      <c r="A3" t="s">
        <v>50</v>
      </c>
      <c r="B3">
        <f>'Données techniques'!B34</f>
        <v>2.2000000000000002</v>
      </c>
      <c r="E3" s="4"/>
      <c r="F3" s="4"/>
      <c r="G3" s="4"/>
      <c r="H3" s="4"/>
      <c r="I3" s="4"/>
      <c r="J3" s="4"/>
    </row>
    <row r="4" spans="1:17" x14ac:dyDescent="0.45">
      <c r="A4" t="s">
        <v>66</v>
      </c>
      <c r="B4" s="7">
        <f>'Données techniques'!B35</f>
        <v>0.2</v>
      </c>
      <c r="D4" s="8"/>
      <c r="E4" s="4"/>
      <c r="F4" s="15"/>
      <c r="G4" s="4"/>
      <c r="H4" s="4"/>
      <c r="I4" s="4"/>
      <c r="J4" s="15"/>
    </row>
    <row r="5" spans="1:17" x14ac:dyDescent="0.45">
      <c r="A5" t="s">
        <v>67</v>
      </c>
      <c r="B5" s="7">
        <f>'Données techniques'!B5</f>
        <v>0.2</v>
      </c>
      <c r="D5" s="7"/>
      <c r="E5" s="4"/>
      <c r="F5" s="15"/>
      <c r="G5" s="4"/>
      <c r="H5" s="4"/>
      <c r="I5" s="4"/>
      <c r="J5" s="15"/>
      <c r="N5" s="4"/>
    </row>
    <row r="6" spans="1:17" ht="28.5" x14ac:dyDescent="0.45">
      <c r="A6" s="6" t="s">
        <v>68</v>
      </c>
      <c r="B6">
        <f>B2*B5</f>
        <v>50</v>
      </c>
      <c r="E6" s="4"/>
      <c r="F6" s="4"/>
      <c r="G6" s="4"/>
      <c r="H6" s="4"/>
      <c r="I6" s="4"/>
      <c r="J6" s="4"/>
    </row>
    <row r="7" spans="1:17" x14ac:dyDescent="0.45">
      <c r="A7" t="s">
        <v>69</v>
      </c>
      <c r="B7" s="7">
        <f>'Données techniques'!B30</f>
        <v>0.85</v>
      </c>
      <c r="D7" s="9"/>
      <c r="E7" s="4"/>
      <c r="F7" s="15"/>
      <c r="G7" s="17"/>
      <c r="H7" s="18"/>
      <c r="I7" s="4"/>
      <c r="J7" s="15"/>
    </row>
    <row r="8" spans="1:17" x14ac:dyDescent="0.45">
      <c r="A8" t="s">
        <v>70</v>
      </c>
      <c r="B8" s="1">
        <f>B9/(100%-B4)</f>
        <v>73.529411764705884</v>
      </c>
      <c r="D8" s="3"/>
      <c r="E8" s="4"/>
      <c r="F8" s="16"/>
      <c r="G8" s="17"/>
      <c r="H8" s="17"/>
      <c r="I8" s="4"/>
      <c r="J8" s="16"/>
      <c r="K8" s="5"/>
      <c r="N8" s="5"/>
      <c r="O8" s="5"/>
      <c r="P8" s="5"/>
      <c r="Q8" s="5"/>
    </row>
    <row r="9" spans="1:17" x14ac:dyDescent="0.45">
      <c r="A9" t="s">
        <v>71</v>
      </c>
      <c r="B9" s="1">
        <f>B6/B7</f>
        <v>58.82352941176471</v>
      </c>
      <c r="D9" s="3"/>
      <c r="E9" s="4"/>
      <c r="F9" s="16"/>
      <c r="G9" s="19"/>
      <c r="H9" s="19"/>
      <c r="I9" s="4"/>
      <c r="J9" s="16"/>
      <c r="K9" s="5"/>
      <c r="N9" s="5"/>
      <c r="O9" s="5"/>
      <c r="P9" s="5"/>
      <c r="Q9" s="5"/>
    </row>
    <row r="10" spans="1:17" x14ac:dyDescent="0.45">
      <c r="A10" t="s">
        <v>72</v>
      </c>
      <c r="B10" s="7">
        <v>0.5</v>
      </c>
      <c r="D10" s="3"/>
      <c r="E10" s="4"/>
      <c r="F10" s="15"/>
      <c r="G10" s="19"/>
      <c r="H10" s="19"/>
      <c r="I10" s="4"/>
      <c r="J10" s="15"/>
    </row>
    <row r="11" spans="1:17" x14ac:dyDescent="0.45">
      <c r="A11" t="s">
        <v>73</v>
      </c>
      <c r="B11" s="1">
        <f>B8/B10</f>
        <v>147.05882352941177</v>
      </c>
      <c r="D11" s="3"/>
      <c r="E11" s="4"/>
      <c r="F11" s="16"/>
      <c r="G11" s="19"/>
      <c r="H11" s="19"/>
      <c r="I11" s="4"/>
      <c r="J11" s="16"/>
    </row>
    <row r="12" spans="1:17" x14ac:dyDescent="0.45">
      <c r="A12" s="10" t="s">
        <v>74</v>
      </c>
      <c r="B12" s="11">
        <f>B11/B3</f>
        <v>66.844919786096256</v>
      </c>
      <c r="D12" s="3"/>
      <c r="E12" s="4"/>
      <c r="F12" s="20"/>
      <c r="G12" s="17"/>
      <c r="H12" s="17"/>
      <c r="I12" s="4"/>
      <c r="J12" s="16"/>
    </row>
    <row r="13" spans="1:17" x14ac:dyDescent="0.45">
      <c r="E13" s="4"/>
      <c r="F13" s="4"/>
      <c r="G13" s="4"/>
      <c r="H13" s="4"/>
      <c r="I13" s="4"/>
      <c r="J13" s="4"/>
    </row>
    <row r="14" spans="1:17" x14ac:dyDescent="0.45">
      <c r="A14" t="s">
        <v>75</v>
      </c>
      <c r="B14" s="3">
        <f>'Données techniques'!B39</f>
        <v>15</v>
      </c>
      <c r="F14" s="3"/>
      <c r="G14" s="4"/>
      <c r="H14" s="4"/>
    </row>
    <row r="15" spans="1:17" x14ac:dyDescent="0.45">
      <c r="A15" t="s">
        <v>76</v>
      </c>
      <c r="B15" s="3">
        <f>'Données techniques'!B40</f>
        <v>3</v>
      </c>
      <c r="F15" s="3"/>
    </row>
    <row r="16" spans="1:17" x14ac:dyDescent="0.45">
      <c r="A16" t="s">
        <v>77</v>
      </c>
      <c r="B16" s="281">
        <f>ROUNDUP((B12/B15/B14),0)</f>
        <v>2</v>
      </c>
      <c r="C16" s="284"/>
      <c r="F16" s="13"/>
    </row>
    <row r="17" spans="1:10" x14ac:dyDescent="0.45">
      <c r="A17" s="10" t="s">
        <v>78</v>
      </c>
      <c r="B17" s="12">
        <f>B16+1</f>
        <v>3</v>
      </c>
      <c r="E17" s="5"/>
      <c r="F17" s="21"/>
    </row>
    <row r="18" spans="1:10" x14ac:dyDescent="0.45">
      <c r="F18" s="282"/>
      <c r="G18" s="283"/>
    </row>
    <row r="25" spans="1:10" x14ac:dyDescent="0.45">
      <c r="J25" s="22"/>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4"/>
  <sheetViews>
    <sheetView showGridLines="0" topLeftCell="A27" zoomScaleNormal="100" workbookViewId="0"/>
  </sheetViews>
  <sheetFormatPr baseColWidth="10" defaultColWidth="9" defaultRowHeight="13.15" x14ac:dyDescent="0.45"/>
  <cols>
    <col min="1" max="1" width="31.6640625" style="61" customWidth="1"/>
    <col min="2" max="2" width="12.6640625" style="61" customWidth="1"/>
    <col min="3" max="3" width="11.6640625" style="61" customWidth="1"/>
    <col min="4" max="4" width="3.1328125" style="61" bestFit="1" customWidth="1"/>
    <col min="5" max="5" width="14.6640625" style="61" customWidth="1"/>
    <col min="6" max="6" width="16.6640625" style="61" customWidth="1"/>
    <col min="7" max="8" width="1.6640625" style="61" customWidth="1"/>
    <col min="9" max="9" width="24.6640625" style="61" customWidth="1"/>
    <col min="10" max="12" width="11.6640625" style="61" customWidth="1"/>
    <col min="13" max="13" width="14.33203125" style="61" customWidth="1"/>
    <col min="14" max="14" width="12.86328125" style="61" customWidth="1"/>
    <col min="15" max="16384" width="9" style="61"/>
  </cols>
  <sheetData>
    <row r="1" spans="1:14" ht="78" customHeight="1" x14ac:dyDescent="0.45"/>
    <row r="2" spans="1:14" ht="13.5" thickBot="1" x14ac:dyDescent="0.5">
      <c r="A2" s="62"/>
    </row>
    <row r="3" spans="1:14" x14ac:dyDescent="0.45">
      <c r="A3" s="145"/>
      <c r="B3" s="146"/>
      <c r="C3" s="146"/>
      <c r="D3" s="146"/>
      <c r="E3" s="146"/>
      <c r="F3" s="146"/>
      <c r="G3" s="147"/>
      <c r="H3" s="145"/>
      <c r="I3" s="146"/>
      <c r="J3" s="146"/>
      <c r="K3" s="146"/>
      <c r="L3" s="146"/>
      <c r="M3" s="147"/>
    </row>
    <row r="4" spans="1:14" ht="17.25" x14ac:dyDescent="0.45">
      <c r="A4" s="337" t="s">
        <v>79</v>
      </c>
      <c r="B4" s="338"/>
      <c r="C4" s="338"/>
      <c r="D4" s="338"/>
      <c r="E4" s="338"/>
      <c r="F4" s="338"/>
      <c r="G4" s="148"/>
      <c r="H4" s="150"/>
      <c r="I4" s="338" t="s">
        <v>80</v>
      </c>
      <c r="J4" s="338"/>
      <c r="K4" s="338"/>
      <c r="L4" s="338"/>
      <c r="M4" s="339"/>
    </row>
    <row r="5" spans="1:14" ht="6" customHeight="1" x14ac:dyDescent="0.45">
      <c r="A5" s="149"/>
      <c r="G5" s="148"/>
      <c r="H5" s="150"/>
      <c r="I5" s="167"/>
      <c r="M5" s="148"/>
    </row>
    <row r="6" spans="1:14" x14ac:dyDescent="0.45">
      <c r="A6" s="150"/>
      <c r="B6" s="151" t="s">
        <v>81</v>
      </c>
      <c r="C6" s="151" t="s">
        <v>82</v>
      </c>
      <c r="D6" s="151"/>
      <c r="E6" s="151" t="s">
        <v>83</v>
      </c>
      <c r="F6" s="151" t="s">
        <v>84</v>
      </c>
      <c r="G6" s="152"/>
      <c r="H6" s="168"/>
      <c r="I6" s="59"/>
      <c r="M6" s="148"/>
    </row>
    <row r="7" spans="1:14" x14ac:dyDescent="0.45">
      <c r="A7" s="153" t="s">
        <v>85</v>
      </c>
      <c r="B7" s="87">
        <f>('Données techniques'!B4*'Données techniques'!B5)*'Données techniques'!B6</f>
        <v>35</v>
      </c>
      <c r="C7" s="88">
        <f>'Données techniques'!D13</f>
        <v>22</v>
      </c>
      <c r="D7" s="88" t="s">
        <v>11</v>
      </c>
      <c r="E7" s="89">
        <f>'Données techniques'!B17</f>
        <v>13</v>
      </c>
      <c r="F7" s="90">
        <f>B7*'Données techniques'!D13*'Données techniques'!B17</f>
        <v>10010</v>
      </c>
      <c r="G7" s="154"/>
      <c r="H7" s="169"/>
      <c r="I7" s="170" t="s">
        <v>86</v>
      </c>
      <c r="M7" s="154"/>
      <c r="N7" s="63"/>
    </row>
    <row r="8" spans="1:14" x14ac:dyDescent="0.45">
      <c r="A8" s="155" t="s">
        <v>87</v>
      </c>
      <c r="B8" s="91">
        <f>('Données techniques'!B4*'Données techniques'!B5)*'Données techniques'!B7</f>
        <v>10</v>
      </c>
      <c r="C8" s="92">
        <f>'Données techniques'!B12</f>
        <v>70</v>
      </c>
      <c r="D8" s="92" t="s">
        <v>88</v>
      </c>
      <c r="E8" s="93">
        <f>'Données techniques'!B16</f>
        <v>3.76</v>
      </c>
      <c r="F8" s="94">
        <f>B8*'Données techniques'!B12*'Données techniques'!B16</f>
        <v>2632</v>
      </c>
      <c r="G8" s="156"/>
      <c r="H8" s="171"/>
      <c r="I8" s="225"/>
      <c r="M8" s="158"/>
      <c r="N8" s="64"/>
    </row>
    <row r="9" spans="1:14" x14ac:dyDescent="0.45">
      <c r="A9" s="157" t="s">
        <v>89</v>
      </c>
      <c r="B9" s="95">
        <f>('Données techniques'!B4*'Données techniques'!B5)*'Données techniques'!B8</f>
        <v>5</v>
      </c>
      <c r="C9" s="96">
        <f>'Données techniques'!B11</f>
        <v>55</v>
      </c>
      <c r="D9" s="96" t="s">
        <v>88</v>
      </c>
      <c r="E9" s="97">
        <f>'Données techniques'!B15</f>
        <v>4.3</v>
      </c>
      <c r="F9" s="97">
        <f>B9*'Données techniques'!B11*'Données techniques'!B15</f>
        <v>1182.5</v>
      </c>
      <c r="G9" s="158"/>
      <c r="H9" s="172"/>
      <c r="I9" s="225"/>
      <c r="M9" s="148"/>
      <c r="N9" s="65"/>
    </row>
    <row r="10" spans="1:14" x14ac:dyDescent="0.45">
      <c r="A10" s="159"/>
      <c r="G10" s="148"/>
      <c r="H10" s="150"/>
      <c r="M10" s="148"/>
    </row>
    <row r="11" spans="1:14" x14ac:dyDescent="0.45">
      <c r="A11" s="159"/>
      <c r="B11" s="151" t="s">
        <v>81</v>
      </c>
      <c r="C11" s="151" t="s">
        <v>11</v>
      </c>
      <c r="D11" s="151"/>
      <c r="E11" s="151"/>
      <c r="F11" s="151"/>
      <c r="G11" s="152"/>
      <c r="H11" s="168"/>
      <c r="J11" s="173"/>
      <c r="K11" s="173"/>
      <c r="L11" s="173"/>
      <c r="M11" s="148"/>
    </row>
    <row r="12" spans="1:14" ht="15" customHeight="1" x14ac:dyDescent="0.45">
      <c r="A12" s="160"/>
      <c r="B12" s="87">
        <f>B7+B8+B9</f>
        <v>50</v>
      </c>
      <c r="C12" s="98">
        <f>('BUDGET Acheter ou produire'!B7*'Données techniques'!F13+'BUDGET Acheter ou produire'!B8*'Données techniques'!D12+B9*'Données techniques'!D11)</f>
        <v>2099.0957966764418</v>
      </c>
      <c r="D12" s="98"/>
      <c r="E12" s="87"/>
      <c r="F12" s="87"/>
      <c r="G12" s="148"/>
      <c r="H12" s="150"/>
      <c r="I12" s="174"/>
      <c r="K12" s="175"/>
      <c r="L12" s="175"/>
      <c r="M12" s="148"/>
    </row>
    <row r="13" spans="1:14" ht="13.5" thickBot="1" x14ac:dyDescent="0.5">
      <c r="A13" s="161" t="s">
        <v>90</v>
      </c>
      <c r="B13" s="97">
        <f>'Données techniques'!B31</f>
        <v>46.53</v>
      </c>
      <c r="C13" s="99">
        <f>'Données techniques'!B32</f>
        <v>1.0815999999999999</v>
      </c>
      <c r="D13" s="99"/>
      <c r="E13" s="95"/>
      <c r="F13" s="100">
        <f>(B12*'Données techniques'!B31)+(C12*'Données techniques'!B32)</f>
        <v>4596.8820136852391</v>
      </c>
      <c r="G13" s="162"/>
      <c r="H13" s="176"/>
      <c r="J13" s="65"/>
      <c r="K13" s="68"/>
      <c r="L13" s="68"/>
      <c r="M13" s="148"/>
      <c r="N13" s="66"/>
    </row>
    <row r="14" spans="1:14" ht="15" thickTop="1" thickBot="1" x14ac:dyDescent="0.5">
      <c r="A14" s="150"/>
      <c r="E14" s="76" t="s">
        <v>91</v>
      </c>
      <c r="F14" s="101">
        <f>SUM(F7:F13)</f>
        <v>18421.382013685237</v>
      </c>
      <c r="G14" s="163"/>
      <c r="H14" s="177"/>
      <c r="L14" s="76" t="s">
        <v>91</v>
      </c>
      <c r="M14" s="134">
        <f>SUM(M7:M13)</f>
        <v>0</v>
      </c>
    </row>
    <row r="15" spans="1:14" ht="13.9" thickTop="1" thickBot="1" x14ac:dyDescent="0.5">
      <c r="A15" s="164"/>
      <c r="B15" s="165"/>
      <c r="C15" s="165"/>
      <c r="D15" s="165"/>
      <c r="E15" s="165"/>
      <c r="F15" s="165"/>
      <c r="G15" s="166"/>
      <c r="H15" s="164"/>
      <c r="I15" s="165"/>
      <c r="J15" s="165"/>
      <c r="K15" s="165"/>
      <c r="L15" s="165"/>
      <c r="M15" s="166"/>
      <c r="N15" s="63"/>
    </row>
    <row r="16" spans="1:14" ht="14.25" customHeight="1" x14ac:dyDescent="0.45">
      <c r="A16" s="145"/>
      <c r="B16" s="146"/>
      <c r="C16" s="146"/>
      <c r="D16" s="146"/>
      <c r="E16" s="146"/>
      <c r="F16" s="178"/>
      <c r="G16" s="179"/>
      <c r="H16" s="196"/>
      <c r="I16" s="146"/>
      <c r="J16" s="146"/>
      <c r="K16" s="146"/>
      <c r="L16" s="146"/>
      <c r="M16" s="147"/>
    </row>
    <row r="17" spans="1:14" ht="17.25" x14ac:dyDescent="0.45">
      <c r="A17" s="337" t="s">
        <v>92</v>
      </c>
      <c r="B17" s="338"/>
      <c r="C17" s="338"/>
      <c r="D17" s="338"/>
      <c r="E17" s="338"/>
      <c r="F17" s="338"/>
      <c r="G17" s="148"/>
      <c r="H17" s="150"/>
      <c r="I17" s="338" t="s">
        <v>93</v>
      </c>
      <c r="J17" s="338"/>
      <c r="K17" s="338"/>
      <c r="L17" s="338"/>
      <c r="M17" s="339"/>
    </row>
    <row r="18" spans="1:14" ht="6" customHeight="1" x14ac:dyDescent="0.45">
      <c r="A18" s="149"/>
      <c r="G18" s="148"/>
      <c r="H18" s="150"/>
      <c r="I18" s="167"/>
      <c r="M18" s="148"/>
    </row>
    <row r="19" spans="1:14" ht="26.25" x14ac:dyDescent="0.4">
      <c r="A19" s="180"/>
      <c r="B19" s="211" t="s">
        <v>94</v>
      </c>
      <c r="C19" s="341" t="s">
        <v>95</v>
      </c>
      <c r="D19" s="341"/>
      <c r="E19" s="182" t="s">
        <v>96</v>
      </c>
      <c r="F19" s="182" t="s">
        <v>84</v>
      </c>
      <c r="G19" s="152"/>
      <c r="H19" s="168"/>
      <c r="I19" s="59"/>
      <c r="J19" s="211" t="s">
        <v>94</v>
      </c>
      <c r="K19" s="211" t="s">
        <v>83</v>
      </c>
      <c r="L19" s="181"/>
      <c r="M19" s="197" t="s">
        <v>84</v>
      </c>
    </row>
    <row r="20" spans="1:14" ht="54.75" customHeight="1" x14ac:dyDescent="0.45">
      <c r="A20" s="183" t="s">
        <v>97</v>
      </c>
      <c r="B20" s="212">
        <f>B7</f>
        <v>35</v>
      </c>
      <c r="C20" s="221">
        <f>'Données techniques'!D29-(('Données techniques'!F13-'Données techniques'!B10)/('Données techniques'!B14/1000))</f>
        <v>53.726449104987623</v>
      </c>
      <c r="D20" s="87"/>
      <c r="E20" s="89">
        <f>'Données techniques'!B33</f>
        <v>1.32</v>
      </c>
      <c r="F20" s="89">
        <f>B20*C20*E20</f>
        <v>2482.1619486504283</v>
      </c>
      <c r="G20" s="158"/>
      <c r="H20" s="172"/>
      <c r="I20" s="77" t="s">
        <v>98</v>
      </c>
      <c r="J20" s="212">
        <f>'Données techniques'!B4*'Données techniques'!B5</f>
        <v>50</v>
      </c>
      <c r="K20" s="89">
        <f>'Données techniques'!B25</f>
        <v>450</v>
      </c>
      <c r="L20" s="89"/>
      <c r="M20" s="198">
        <f>J20*K20</f>
        <v>22500</v>
      </c>
    </row>
    <row r="21" spans="1:14" ht="55.5" customHeight="1" x14ac:dyDescent="0.45">
      <c r="A21" s="184" t="s">
        <v>99</v>
      </c>
      <c r="B21" s="222">
        <f>B8</f>
        <v>10</v>
      </c>
      <c r="C21" s="214">
        <f>'Données techniques'!D29-(('Données techniques'!D12-'Données techniques'!B10)/('Données techniques'!B14/1000))</f>
        <v>98.897429101510738</v>
      </c>
      <c r="D21" s="91"/>
      <c r="E21" s="93">
        <f>'Données techniques'!B33</f>
        <v>1.32</v>
      </c>
      <c r="F21" s="93">
        <f>B21*C21*E21</f>
        <v>1305.4460641399419</v>
      </c>
      <c r="G21" s="158"/>
      <c r="H21" s="172"/>
      <c r="I21" s="280" t="s">
        <v>100</v>
      </c>
      <c r="J21" s="80"/>
      <c r="K21" s="80"/>
      <c r="L21" s="102"/>
      <c r="M21" s="199">
        <f>Financement!G8</f>
        <v>582.07100520331005</v>
      </c>
    </row>
    <row r="22" spans="1:14" ht="63.75" customHeight="1" x14ac:dyDescent="0.45">
      <c r="A22" s="185" t="s">
        <v>101</v>
      </c>
      <c r="B22" s="216">
        <f>B9</f>
        <v>5</v>
      </c>
      <c r="C22" s="223">
        <f>'Données techniques'!D29-(('Données techniques'!D11-'Données techniques'!B10)/('Données techniques'!B14/1000))</f>
        <v>118.77551020408166</v>
      </c>
      <c r="D22" s="95"/>
      <c r="E22" s="97">
        <f>'Données techniques'!B33</f>
        <v>1.32</v>
      </c>
      <c r="F22" s="97">
        <f t="shared" ref="F22" si="0">B22*C22*E22</f>
        <v>783.91836734693902</v>
      </c>
      <c r="G22" s="158"/>
      <c r="H22" s="172"/>
      <c r="M22" s="148"/>
    </row>
    <row r="23" spans="1:14" ht="14.25" customHeight="1" x14ac:dyDescent="0.45">
      <c r="A23" s="150"/>
      <c r="G23" s="148"/>
      <c r="H23" s="150"/>
      <c r="M23" s="148"/>
      <c r="N23" s="64"/>
    </row>
    <row r="24" spans="1:14" ht="39.4" x14ac:dyDescent="0.4">
      <c r="A24" s="186"/>
      <c r="B24" s="211" t="s">
        <v>78</v>
      </c>
      <c r="C24" s="341" t="s">
        <v>102</v>
      </c>
      <c r="D24" s="341"/>
      <c r="E24" s="211" t="s">
        <v>103</v>
      </c>
      <c r="F24" s="181" t="s">
        <v>84</v>
      </c>
      <c r="G24" s="187"/>
      <c r="H24" s="200"/>
      <c r="I24" s="59"/>
      <c r="J24" s="211" t="s">
        <v>104</v>
      </c>
      <c r="K24" s="211" t="s">
        <v>83</v>
      </c>
      <c r="L24" s="181"/>
      <c r="M24" s="197" t="s">
        <v>84</v>
      </c>
    </row>
    <row r="25" spans="1:14" ht="26.25" x14ac:dyDescent="0.45">
      <c r="A25" s="323" t="s">
        <v>105</v>
      </c>
      <c r="B25" s="189">
        <f>'Calcul remplacement (à masquer)'!B17</f>
        <v>3</v>
      </c>
      <c r="C25" s="224">
        <f>'Données techniques'!B27</f>
        <v>1200</v>
      </c>
      <c r="D25" s="65"/>
      <c r="E25" s="189">
        <f>'Données techniques'!B28</f>
        <v>4</v>
      </c>
      <c r="F25" s="64">
        <f>(C25*B25)/E25</f>
        <v>900</v>
      </c>
      <c r="G25" s="156"/>
      <c r="H25" s="171"/>
      <c r="I25" s="201" t="s">
        <v>106</v>
      </c>
      <c r="J25" s="173">
        <f>J20</f>
        <v>50</v>
      </c>
      <c r="K25" s="219">
        <f>'Données techniques'!B26</f>
        <v>20</v>
      </c>
      <c r="M25" s="202">
        <f>J25*K25</f>
        <v>1000</v>
      </c>
    </row>
    <row r="26" spans="1:14" s="59" customFormat="1" ht="14.25" customHeight="1" x14ac:dyDescent="0.45">
      <c r="A26" s="186"/>
      <c r="G26" s="190"/>
      <c r="H26" s="186"/>
      <c r="J26" s="173"/>
      <c r="K26" s="173"/>
      <c r="M26" s="190"/>
      <c r="N26" s="60"/>
    </row>
    <row r="27" spans="1:14" s="59" customFormat="1" ht="73.5" customHeight="1" x14ac:dyDescent="0.45">
      <c r="A27" s="186"/>
      <c r="B27" s="210" t="s">
        <v>107</v>
      </c>
      <c r="C27" s="342" t="s">
        <v>96</v>
      </c>
      <c r="D27" s="342"/>
      <c r="E27" s="210" t="s">
        <v>108</v>
      </c>
      <c r="F27" s="191" t="s">
        <v>84</v>
      </c>
      <c r="G27" s="187"/>
      <c r="H27" s="200"/>
      <c r="J27" s="210" t="s">
        <v>104</v>
      </c>
      <c r="K27" s="191" t="s">
        <v>109</v>
      </c>
      <c r="L27" s="191" t="s">
        <v>110</v>
      </c>
      <c r="M27" s="203" t="s">
        <v>84</v>
      </c>
    </row>
    <row r="28" spans="1:14" ht="60" customHeight="1" x14ac:dyDescent="0.45">
      <c r="A28" s="188" t="s">
        <v>111</v>
      </c>
      <c r="B28" s="173">
        <v>11.49</v>
      </c>
      <c r="C28" s="220">
        <f>'Données techniques'!B33</f>
        <v>1.32</v>
      </c>
      <c r="D28" s="218"/>
      <c r="E28" s="189">
        <f>'Calcul remplacement (à masquer)'!B11</f>
        <v>147.05882352941177</v>
      </c>
      <c r="F28" s="65">
        <f>B28*C28*E28</f>
        <v>2230.4117647058824</v>
      </c>
      <c r="G28" s="158"/>
      <c r="H28" s="172"/>
      <c r="I28" s="77" t="s">
        <v>112</v>
      </c>
      <c r="J28" s="212">
        <f>('Données techniques'!B4*'Données techniques'!B5)*'Données techniques'!B6</f>
        <v>35</v>
      </c>
      <c r="K28" s="213">
        <f>'Données techniques'!B19+'Données techniques'!B24</f>
        <v>8.35</v>
      </c>
      <c r="L28" s="213">
        <f>'Données techniques'!B18</f>
        <v>9</v>
      </c>
      <c r="M28" s="198">
        <f>J28*(K28+L28)</f>
        <v>607.25</v>
      </c>
    </row>
    <row r="29" spans="1:14" ht="14.25" x14ac:dyDescent="0.45">
      <c r="A29" s="150"/>
      <c r="G29" s="193"/>
      <c r="H29" s="204"/>
      <c r="I29" s="78" t="s">
        <v>113</v>
      </c>
      <c r="J29" s="214">
        <f>('Données techniques'!B4*'Données techniques'!B5)*'Données techniques'!B7</f>
        <v>10</v>
      </c>
      <c r="K29" s="215">
        <f>'Données techniques'!B21+'Données techniques'!B24</f>
        <v>8.6</v>
      </c>
      <c r="L29" s="215">
        <f>'Données techniques'!B20</f>
        <v>8</v>
      </c>
      <c r="M29" s="205">
        <f>J29*(K29+L29)</f>
        <v>166</v>
      </c>
    </row>
    <row r="30" spans="1:14" x14ac:dyDescent="0.45">
      <c r="A30" s="150"/>
      <c r="C30" s="192"/>
      <c r="D30" s="192"/>
      <c r="G30" s="148"/>
      <c r="H30" s="150"/>
      <c r="I30" s="79" t="s">
        <v>114</v>
      </c>
      <c r="J30" s="216">
        <f>('Données techniques'!B4*'Données techniques'!B5)*'Données techniques'!B8</f>
        <v>5</v>
      </c>
      <c r="K30" s="217">
        <f>'Données techniques'!B23+'Données techniques'!B24</f>
        <v>8.6</v>
      </c>
      <c r="L30" s="217">
        <f>'Données techniques'!B22</f>
        <v>8</v>
      </c>
      <c r="M30" s="206">
        <f>J30*(K30+L30)</f>
        <v>83</v>
      </c>
    </row>
    <row r="31" spans="1:14" ht="13.5" thickBot="1" x14ac:dyDescent="0.5">
      <c r="A31" s="150"/>
      <c r="G31" s="148"/>
      <c r="H31" s="150"/>
      <c r="M31" s="148"/>
      <c r="N31" s="67"/>
    </row>
    <row r="32" spans="1:14" ht="15" thickTop="1" thickBot="1" x14ac:dyDescent="0.5">
      <c r="A32" s="194"/>
      <c r="B32" s="62"/>
      <c r="C32" s="62"/>
      <c r="D32" s="62"/>
      <c r="E32" s="76" t="s">
        <v>91</v>
      </c>
      <c r="F32" s="103">
        <f>SUM(F20:F28)</f>
        <v>7701.9381448431923</v>
      </c>
      <c r="G32" s="195"/>
      <c r="H32" s="207"/>
      <c r="I32" s="62"/>
      <c r="J32" s="62"/>
      <c r="K32" s="62"/>
      <c r="L32" s="76" t="s">
        <v>91</v>
      </c>
      <c r="M32" s="103">
        <f>SUM(M20,M21,M25,M28:M30)</f>
        <v>24938.32100520331</v>
      </c>
      <c r="N32" s="67"/>
    </row>
    <row r="33" spans="1:13" ht="13.9" thickTop="1" thickBot="1" x14ac:dyDescent="0.5">
      <c r="A33" s="164"/>
      <c r="B33" s="165"/>
      <c r="C33" s="165"/>
      <c r="D33" s="165"/>
      <c r="E33" s="165"/>
      <c r="F33" s="165"/>
      <c r="G33" s="166"/>
      <c r="H33" s="164"/>
      <c r="I33" s="165"/>
      <c r="J33" s="165"/>
      <c r="K33" s="165"/>
      <c r="L33" s="165"/>
      <c r="M33" s="166"/>
    </row>
    <row r="34" spans="1:13" ht="13.5" thickBot="1" x14ac:dyDescent="0.5"/>
    <row r="35" spans="1:13" ht="15" thickTop="1" thickBot="1" x14ac:dyDescent="0.5">
      <c r="E35" s="76" t="s">
        <v>84</v>
      </c>
      <c r="F35" s="104">
        <f>F14+F32</f>
        <v>26123.32015852843</v>
      </c>
      <c r="L35" s="76" t="s">
        <v>84</v>
      </c>
      <c r="M35" s="229">
        <f>M14+M32</f>
        <v>24938.32100520331</v>
      </c>
    </row>
    <row r="36" spans="1:13" ht="13.5" thickTop="1" x14ac:dyDescent="0.45"/>
    <row r="37" spans="1:13" ht="13.5" thickBot="1" x14ac:dyDescent="0.5"/>
    <row r="38" spans="1:13" ht="18.399999999999999" thickBot="1" x14ac:dyDescent="0.5">
      <c r="A38" s="343" t="s">
        <v>115</v>
      </c>
      <c r="B38" s="344"/>
      <c r="C38" s="344"/>
      <c r="D38" s="344"/>
      <c r="E38" s="344"/>
      <c r="F38" s="344"/>
      <c r="G38" s="344"/>
      <c r="H38" s="344"/>
      <c r="I38" s="344"/>
      <c r="J38" s="344"/>
      <c r="K38" s="344"/>
      <c r="L38" s="344"/>
      <c r="M38" s="314">
        <f>F35-M35</f>
        <v>1184.9991533251196</v>
      </c>
    </row>
    <row r="39" spans="1:13" ht="32" customHeight="1" thickBot="1" x14ac:dyDescent="0.5">
      <c r="A39" s="345" t="s">
        <v>116</v>
      </c>
      <c r="B39" s="346"/>
      <c r="C39" s="346"/>
      <c r="D39" s="346"/>
      <c r="E39" s="346"/>
      <c r="F39" s="346"/>
      <c r="G39" s="346"/>
      <c r="H39" s="346"/>
      <c r="I39" s="346"/>
      <c r="J39" s="346"/>
      <c r="K39" s="346"/>
      <c r="L39" s="346"/>
      <c r="M39" s="347"/>
    </row>
    <row r="40" spans="1:13" x14ac:dyDescent="0.45">
      <c r="K40" s="252"/>
      <c r="L40" s="252"/>
      <c r="M40" s="252"/>
    </row>
    <row r="41" spans="1:13" ht="2.85" customHeight="1" x14ac:dyDescent="0.45">
      <c r="A41" s="62"/>
    </row>
    <row r="42" spans="1:13" ht="18" customHeight="1" x14ac:dyDescent="0.45">
      <c r="A42" s="62" t="s">
        <v>117</v>
      </c>
    </row>
    <row r="43" spans="1:13" ht="28.5" customHeight="1" x14ac:dyDescent="0.45">
      <c r="A43" s="340" t="s">
        <v>157</v>
      </c>
      <c r="B43" s="340"/>
      <c r="C43" s="340"/>
      <c r="D43" s="340"/>
      <c r="E43" s="340"/>
      <c r="F43" s="340"/>
      <c r="G43" s="340"/>
      <c r="H43" s="340"/>
      <c r="I43" s="340"/>
      <c r="J43" s="340"/>
      <c r="K43" s="340"/>
      <c r="L43" s="340"/>
      <c r="M43" s="340"/>
    </row>
    <row r="44" spans="1:13" x14ac:dyDescent="0.45">
      <c r="A44" s="208" t="s">
        <v>118</v>
      </c>
    </row>
  </sheetData>
  <sheetProtection sheet="1" formatColumns="0"/>
  <mergeCells count="10">
    <mergeCell ref="A17:F17"/>
    <mergeCell ref="I17:M17"/>
    <mergeCell ref="A4:F4"/>
    <mergeCell ref="I4:M4"/>
    <mergeCell ref="A43:M43"/>
    <mergeCell ref="C19:D19"/>
    <mergeCell ref="C27:D27"/>
    <mergeCell ref="C24:D24"/>
    <mergeCell ref="A38:L38"/>
    <mergeCell ref="A39:M39"/>
  </mergeCells>
  <hyperlinks>
    <hyperlink ref="A44" r:id="rId1" display="https://genovis.ca/wp-content/uploads/2019/06/Repartition-des-EPD-selon-leur-rang-centile_Juillet-2018.pdf" xr:uid="{E170231D-0FAB-4826-B1CF-DF4E69BF04FD}"/>
  </hyperlinks>
  <pageMargins left="0.19685039370078741" right="0.19685039370078741" top="0.39370078740157483" bottom="0.39370078740157483" header="0.31496062992125984" footer="0.31496062992125984"/>
  <pageSetup paperSize="5" orientation="landscape" r:id="rId2"/>
  <rowBreaks count="2" manualBreakCount="2">
    <brk id="15" max="16383" man="1"/>
    <brk id="26" max="1638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5ADDF-90C5-41BC-A223-E5AC5F872E26}">
  <dimension ref="A1:N46"/>
  <sheetViews>
    <sheetView showGridLines="0" zoomScale="115" zoomScaleNormal="115" workbookViewId="0">
      <selection activeCell="B7" sqref="B7"/>
    </sheetView>
  </sheetViews>
  <sheetFormatPr baseColWidth="10" defaultColWidth="9" defaultRowHeight="13.15" x14ac:dyDescent="0.45"/>
  <cols>
    <col min="1" max="1" width="28.1328125" style="70" customWidth="1"/>
    <col min="2" max="2" width="14.53125" style="70" customWidth="1"/>
    <col min="3" max="3" width="12.6640625" style="70" customWidth="1"/>
    <col min="4" max="4" width="3.1328125" style="70" bestFit="1" customWidth="1"/>
    <col min="5" max="5" width="12.86328125" style="70" customWidth="1"/>
    <col min="6" max="6" width="14" style="70" customWidth="1"/>
    <col min="7" max="8" width="1.6640625" style="70" customWidth="1"/>
    <col min="9" max="9" width="26.6640625" style="70" customWidth="1"/>
    <col min="10" max="10" width="10.46484375" style="70" customWidth="1"/>
    <col min="11" max="11" width="10.86328125" style="70" customWidth="1"/>
    <col min="12" max="12" width="12.86328125" style="70" customWidth="1"/>
    <col min="13" max="13" width="13.46484375" style="70" customWidth="1"/>
    <col min="14" max="14" width="12.86328125" style="70" customWidth="1"/>
    <col min="15" max="15" width="9" style="70" customWidth="1"/>
    <col min="16" max="16384" width="9" style="70"/>
  </cols>
  <sheetData>
    <row r="1" spans="1:14" ht="78" customHeight="1" x14ac:dyDescent="0.45">
      <c r="A1" s="69"/>
    </row>
    <row r="2" spans="1:14" ht="15" customHeight="1" x14ac:dyDescent="0.45">
      <c r="A2" s="326" t="s">
        <v>158</v>
      </c>
      <c r="B2" s="326"/>
      <c r="C2" s="326"/>
      <c r="D2" s="326"/>
      <c r="E2" s="326"/>
      <c r="F2" s="326"/>
      <c r="G2" s="326"/>
      <c r="H2" s="326"/>
      <c r="I2" s="326"/>
      <c r="J2" s="326"/>
      <c r="K2" s="326"/>
      <c r="L2" s="326"/>
      <c r="M2" s="326"/>
    </row>
    <row r="3" spans="1:14" ht="15" customHeight="1" thickBot="1" x14ac:dyDescent="0.5">
      <c r="A3" s="322"/>
      <c r="B3" s="322"/>
      <c r="C3" s="322"/>
      <c r="D3" s="322"/>
      <c r="E3" s="322"/>
      <c r="F3" s="322"/>
      <c r="G3" s="322"/>
      <c r="H3" s="322"/>
      <c r="I3" s="322"/>
      <c r="J3" s="322"/>
      <c r="K3" s="322"/>
      <c r="L3" s="322"/>
      <c r="M3" s="322"/>
    </row>
    <row r="4" spans="1:14" x14ac:dyDescent="0.45">
      <c r="A4" s="83" t="s">
        <v>119</v>
      </c>
      <c r="B4" s="84">
        <f>'Données techniques'!B34</f>
        <v>2.2000000000000002</v>
      </c>
      <c r="C4" s="350" t="s">
        <v>51</v>
      </c>
      <c r="D4" s="350"/>
      <c r="E4" s="351"/>
    </row>
    <row r="5" spans="1:14" x14ac:dyDescent="0.45">
      <c r="A5" s="85" t="s">
        <v>53</v>
      </c>
      <c r="B5" s="82">
        <f>'Données techniques'!B36</f>
        <v>1.7600000000000002</v>
      </c>
      <c r="C5" s="352" t="s">
        <v>54</v>
      </c>
      <c r="D5" s="352"/>
      <c r="E5" s="353"/>
    </row>
    <row r="6" spans="1:14" x14ac:dyDescent="0.45">
      <c r="A6" s="85" t="s">
        <v>120</v>
      </c>
      <c r="B6" s="306">
        <v>2.4</v>
      </c>
      <c r="C6" s="352" t="s">
        <v>51</v>
      </c>
      <c r="D6" s="352"/>
      <c r="E6" s="353"/>
    </row>
    <row r="7" spans="1:14" ht="26.65" thickBot="1" x14ac:dyDescent="0.5">
      <c r="A7" s="316" t="s">
        <v>121</v>
      </c>
      <c r="B7" s="86">
        <f>B6-(B6*'Données techniques'!B35)</f>
        <v>1.92</v>
      </c>
      <c r="C7" s="354" t="s">
        <v>54</v>
      </c>
      <c r="D7" s="354"/>
      <c r="E7" s="355"/>
    </row>
    <row r="8" spans="1:14" ht="14.25" customHeight="1" thickBot="1" x14ac:dyDescent="0.5">
      <c r="H8" s="120"/>
    </row>
    <row r="9" spans="1:14" ht="14.25" customHeight="1" x14ac:dyDescent="0.45">
      <c r="A9" s="123"/>
      <c r="B9" s="124"/>
      <c r="C9" s="124"/>
      <c r="D9" s="124"/>
      <c r="E9" s="124"/>
      <c r="F9" s="124"/>
      <c r="G9" s="108"/>
      <c r="H9" s="123"/>
      <c r="I9" s="124"/>
      <c r="J9" s="124"/>
      <c r="K9" s="124"/>
      <c r="L9" s="124"/>
      <c r="M9" s="108"/>
    </row>
    <row r="10" spans="1:14" ht="17.25" x14ac:dyDescent="0.45">
      <c r="A10" s="356" t="s">
        <v>79</v>
      </c>
      <c r="B10" s="357"/>
      <c r="C10" s="357"/>
      <c r="D10" s="357"/>
      <c r="E10" s="357"/>
      <c r="F10" s="357"/>
      <c r="G10" s="110"/>
      <c r="H10" s="111"/>
      <c r="I10" s="357" t="s">
        <v>80</v>
      </c>
      <c r="J10" s="357"/>
      <c r="K10" s="357"/>
      <c r="L10" s="357"/>
      <c r="M10" s="358"/>
    </row>
    <row r="11" spans="1:14" ht="6" customHeight="1" x14ac:dyDescent="0.45">
      <c r="A11" s="109"/>
      <c r="G11" s="110"/>
      <c r="H11" s="111"/>
      <c r="I11" s="125"/>
      <c r="J11" s="125"/>
      <c r="M11" s="110"/>
    </row>
    <row r="12" spans="1:14" ht="65.650000000000006" x14ac:dyDescent="0.45">
      <c r="A12" s="233"/>
      <c r="B12" s="191" t="s">
        <v>122</v>
      </c>
      <c r="C12" s="359" t="s">
        <v>123</v>
      </c>
      <c r="D12" s="359"/>
      <c r="E12" s="191" t="s">
        <v>83</v>
      </c>
      <c r="F12" s="191" t="s">
        <v>84</v>
      </c>
      <c r="G12" s="112"/>
      <c r="H12" s="126"/>
      <c r="I12" s="127"/>
      <c r="J12" s="127"/>
      <c r="K12" s="226"/>
      <c r="L12" s="226"/>
      <c r="M12" s="227"/>
    </row>
    <row r="13" spans="1:14" ht="26.25" x14ac:dyDescent="0.45">
      <c r="A13" s="183" t="s">
        <v>124</v>
      </c>
      <c r="B13" s="285">
        <f>ROUNDUP((N13),0)</f>
        <v>6</v>
      </c>
      <c r="C13" s="234">
        <f>'Données techniques'!D13</f>
        <v>22</v>
      </c>
      <c r="D13" s="234" t="s">
        <v>11</v>
      </c>
      <c r="E13" s="235">
        <f>'Données techniques'!B17</f>
        <v>13</v>
      </c>
      <c r="F13" s="236">
        <f>B13*C13*E13</f>
        <v>1716</v>
      </c>
      <c r="G13" s="113"/>
      <c r="H13" s="128"/>
      <c r="I13" s="129" t="s">
        <v>86</v>
      </c>
      <c r="J13" s="129"/>
      <c r="N13" s="294">
        <f>(B$7-'Données techniques'!B$36)*'Calcul remplacement (à masquer)'!B$6*'Données techniques'!B6</f>
        <v>5.599999999999989</v>
      </c>
    </row>
    <row r="14" spans="1:14" ht="26.25" x14ac:dyDescent="0.45">
      <c r="A14" s="184" t="s">
        <v>125</v>
      </c>
      <c r="B14" s="286">
        <f>ROUNDUP((N14),0)</f>
        <v>2</v>
      </c>
      <c r="C14" s="237">
        <f>'Données techniques'!B12</f>
        <v>70</v>
      </c>
      <c r="D14" s="237" t="s">
        <v>88</v>
      </c>
      <c r="E14" s="106">
        <f>'Données techniques'!B16</f>
        <v>3.76</v>
      </c>
      <c r="F14" s="238">
        <f>B14*C14*E14</f>
        <v>526.4</v>
      </c>
      <c r="G14" s="113"/>
      <c r="H14" s="128"/>
      <c r="N14" s="294">
        <f>(B$7-'Données techniques'!B$36)*'Calcul remplacement (à masquer)'!B$6*'Données techniques'!B7</f>
        <v>1.599999999999997</v>
      </c>
    </row>
    <row r="15" spans="1:14" ht="26.25" x14ac:dyDescent="0.45">
      <c r="A15" s="185" t="s">
        <v>126</v>
      </c>
      <c r="B15" s="287">
        <f>ROUNDUP((N15),0)</f>
        <v>1</v>
      </c>
      <c r="C15" s="239">
        <f>'Données techniques'!B11</f>
        <v>55</v>
      </c>
      <c r="D15" s="239" t="s">
        <v>88</v>
      </c>
      <c r="E15" s="240">
        <f>'Données techniques'!B15</f>
        <v>4.3</v>
      </c>
      <c r="F15" s="241">
        <f>B15*C15*E15</f>
        <v>236.5</v>
      </c>
      <c r="G15" s="113"/>
      <c r="H15" s="128"/>
      <c r="N15" s="294">
        <f>(B$7-'Données techniques'!B$36)*'Calcul remplacement (à masquer)'!B$6*'Données techniques'!B8</f>
        <v>0.79999999999999849</v>
      </c>
    </row>
    <row r="16" spans="1:14" x14ac:dyDescent="0.45">
      <c r="A16" s="111"/>
      <c r="C16" s="114"/>
      <c r="D16" s="114"/>
      <c r="E16" s="72"/>
      <c r="F16" s="107"/>
      <c r="G16" s="113"/>
      <c r="H16" s="128"/>
      <c r="N16" s="295"/>
    </row>
    <row r="17" spans="1:14" ht="72" customHeight="1" x14ac:dyDescent="0.45">
      <c r="A17" s="233"/>
      <c r="B17" s="191" t="s">
        <v>122</v>
      </c>
      <c r="C17" s="191" t="s">
        <v>127</v>
      </c>
      <c r="D17" s="242"/>
      <c r="E17" s="243"/>
      <c r="F17" s="244" t="s">
        <v>84</v>
      </c>
      <c r="G17" s="115"/>
      <c r="H17" s="130"/>
      <c r="N17" s="295"/>
    </row>
    <row r="18" spans="1:14" x14ac:dyDescent="0.45">
      <c r="A18" s="349" t="s">
        <v>128</v>
      </c>
      <c r="B18" s="245">
        <f>B13+B14+B15</f>
        <v>9</v>
      </c>
      <c r="C18" s="246">
        <f>('BUDGET Amélioration performance'!B13*'Données techniques'!F13+'BUDGET Amélioration performance'!B14*'Données techniques'!D12+B15*'Données techniques'!D11)</f>
        <v>372.50733137829911</v>
      </c>
      <c r="D18" s="247"/>
      <c r="E18" s="248"/>
      <c r="F18" s="249"/>
      <c r="G18" s="113"/>
      <c r="H18" s="128"/>
      <c r="M18" s="110"/>
    </row>
    <row r="19" spans="1:14" ht="13.5" thickBot="1" x14ac:dyDescent="0.5">
      <c r="A19" s="349"/>
      <c r="B19" s="248">
        <f>'Données techniques'!B31</f>
        <v>46.53</v>
      </c>
      <c r="C19" s="250">
        <f>'Données techniques'!B32</f>
        <v>1.0815999999999999</v>
      </c>
      <c r="D19" s="247"/>
      <c r="E19" s="248"/>
      <c r="F19" s="251">
        <f>(B18*'Données techniques'!B31)+(C18*'Données techniques'!B32)</f>
        <v>821.67392961876828</v>
      </c>
      <c r="G19" s="117"/>
      <c r="H19" s="131"/>
      <c r="M19" s="110"/>
    </row>
    <row r="20" spans="1:14" ht="15" thickTop="1" thickBot="1" x14ac:dyDescent="0.5">
      <c r="A20" s="233"/>
      <c r="B20" s="252"/>
      <c r="C20" s="252"/>
      <c r="D20" s="252"/>
      <c r="E20" s="81" t="s">
        <v>91</v>
      </c>
      <c r="F20" s="105">
        <f>SUM(F13:F19)</f>
        <v>3300.5739296187685</v>
      </c>
      <c r="G20" s="118"/>
      <c r="H20" s="132"/>
      <c r="I20" s="133"/>
      <c r="J20" s="133"/>
      <c r="K20" s="252"/>
      <c r="L20" s="76" t="s">
        <v>91</v>
      </c>
      <c r="M20" s="134">
        <f>SUM(M13:M19)</f>
        <v>0</v>
      </c>
    </row>
    <row r="21" spans="1:14" ht="14.25" customHeight="1" thickTop="1" thickBot="1" x14ac:dyDescent="0.5">
      <c r="A21" s="119"/>
      <c r="B21" s="120"/>
      <c r="C21" s="120"/>
      <c r="D21" s="120"/>
      <c r="E21" s="120"/>
      <c r="F21" s="121"/>
      <c r="G21" s="122"/>
      <c r="H21" s="135"/>
      <c r="I21" s="120"/>
      <c r="J21" s="120"/>
      <c r="K21" s="120"/>
      <c r="L21" s="120"/>
      <c r="M21" s="136"/>
    </row>
    <row r="22" spans="1:14" ht="14.25" customHeight="1" x14ac:dyDescent="0.45">
      <c r="A22" s="123"/>
      <c r="B22" s="124"/>
      <c r="C22" s="124"/>
      <c r="D22" s="124"/>
      <c r="E22" s="124"/>
      <c r="F22" s="137"/>
      <c r="G22" s="138"/>
      <c r="H22" s="142"/>
      <c r="I22" s="124"/>
      <c r="J22" s="124"/>
      <c r="K22" s="124"/>
      <c r="L22" s="124"/>
      <c r="M22" s="108"/>
    </row>
    <row r="23" spans="1:14" ht="17.25" x14ac:dyDescent="0.45">
      <c r="A23" s="356" t="s">
        <v>92</v>
      </c>
      <c r="B23" s="357"/>
      <c r="C23" s="357"/>
      <c r="D23" s="357"/>
      <c r="E23" s="357"/>
      <c r="F23" s="357"/>
      <c r="G23" s="110"/>
      <c r="H23" s="111"/>
      <c r="I23" s="357" t="s">
        <v>93</v>
      </c>
      <c r="J23" s="357"/>
      <c r="K23" s="357"/>
      <c r="L23" s="357"/>
      <c r="M23" s="358"/>
    </row>
    <row r="24" spans="1:14" ht="6" customHeight="1" x14ac:dyDescent="0.45">
      <c r="A24" s="109"/>
      <c r="G24" s="110"/>
      <c r="H24" s="111"/>
      <c r="I24" s="125"/>
      <c r="J24" s="125"/>
      <c r="M24" s="110"/>
    </row>
    <row r="25" spans="1:14" ht="26.25" x14ac:dyDescent="0.45">
      <c r="A25" s="139"/>
      <c r="G25" s="110"/>
      <c r="H25" s="111"/>
      <c r="I25" s="253"/>
      <c r="J25" s="210" t="s">
        <v>104</v>
      </c>
      <c r="K25" s="191" t="s">
        <v>95</v>
      </c>
      <c r="L25" s="191" t="s">
        <v>96</v>
      </c>
      <c r="M25" s="203" t="s">
        <v>84</v>
      </c>
    </row>
    <row r="26" spans="1:14" ht="26.25" x14ac:dyDescent="0.45">
      <c r="A26" s="188" t="s">
        <v>129</v>
      </c>
      <c r="C26" s="116"/>
      <c r="E26" s="75"/>
      <c r="F26" s="75"/>
      <c r="G26" s="140"/>
      <c r="H26" s="143"/>
      <c r="I26" s="77" t="s">
        <v>130</v>
      </c>
      <c r="J26" s="288">
        <f>B13</f>
        <v>6</v>
      </c>
      <c r="K26" s="254">
        <f>('Données techniques'!F13-'Données techniques'!B$10)*1000/'Données techniques'!B$14</f>
        <v>126.27355089501238</v>
      </c>
      <c r="L26" s="235">
        <f>'Données techniques'!B$33</f>
        <v>1.32</v>
      </c>
      <c r="M26" s="255">
        <f>J26*K26*L26</f>
        <v>1000.0865230884981</v>
      </c>
    </row>
    <row r="27" spans="1:14" ht="26.25" x14ac:dyDescent="0.45">
      <c r="A27" s="228"/>
      <c r="C27" s="116"/>
      <c r="E27" s="75"/>
      <c r="F27" s="75"/>
      <c r="G27" s="140"/>
      <c r="H27" s="143"/>
      <c r="I27" s="78" t="s">
        <v>131</v>
      </c>
      <c r="J27" s="289">
        <f>B14</f>
        <v>2</v>
      </c>
      <c r="K27" s="256">
        <f>('Données techniques'!D12-'Données techniques'!B$10)*1000/'Données techniques'!B$14</f>
        <v>81.102570898489262</v>
      </c>
      <c r="L27" s="106">
        <f>'Données techniques'!B$33</f>
        <v>1.32</v>
      </c>
      <c r="M27" s="255">
        <f>J27*K27*L27</f>
        <v>214.11078717201167</v>
      </c>
    </row>
    <row r="28" spans="1:14" ht="26.25" x14ac:dyDescent="0.45">
      <c r="A28" s="228"/>
      <c r="C28" s="116"/>
      <c r="E28" s="75"/>
      <c r="F28" s="75"/>
      <c r="G28" s="140"/>
      <c r="H28" s="143"/>
      <c r="I28" s="79" t="s">
        <v>132</v>
      </c>
      <c r="J28" s="290">
        <f>B15</f>
        <v>1</v>
      </c>
      <c r="K28" s="257">
        <f>('Données techniques'!D11-'Données techniques'!B$10)*1000/'Données techniques'!B$14</f>
        <v>61.224489795918359</v>
      </c>
      <c r="L28" s="240">
        <f>'Données techniques'!B$33</f>
        <v>1.32</v>
      </c>
      <c r="M28" s="255">
        <f>J28*K28*L28</f>
        <v>80.816326530612244</v>
      </c>
    </row>
    <row r="29" spans="1:14" x14ac:dyDescent="0.45">
      <c r="A29" s="228"/>
      <c r="G29" s="110"/>
      <c r="H29" s="111"/>
      <c r="I29" s="252"/>
      <c r="J29" s="252"/>
      <c r="K29" s="252"/>
      <c r="L29" s="252"/>
      <c r="M29" s="258"/>
      <c r="N29" s="73"/>
    </row>
    <row r="30" spans="1:14" ht="39.4" x14ac:dyDescent="0.45">
      <c r="A30" s="111"/>
      <c r="G30" s="110"/>
      <c r="H30" s="111"/>
      <c r="I30" s="252"/>
      <c r="J30" s="210" t="s">
        <v>104</v>
      </c>
      <c r="K30" s="191" t="s">
        <v>109</v>
      </c>
      <c r="L30" s="191" t="s">
        <v>110</v>
      </c>
      <c r="M30" s="203" t="s">
        <v>84</v>
      </c>
      <c r="N30" s="73"/>
    </row>
    <row r="31" spans="1:14" ht="26.25" x14ac:dyDescent="0.45">
      <c r="A31" s="111"/>
      <c r="G31" s="110"/>
      <c r="H31" s="111"/>
      <c r="I31" s="77" t="s">
        <v>133</v>
      </c>
      <c r="J31" s="291">
        <f>B13</f>
        <v>6</v>
      </c>
      <c r="K31" s="259">
        <f>'Données techniques'!B19+'Données techniques'!B24</f>
        <v>8.35</v>
      </c>
      <c r="L31" s="259">
        <f>'Données techniques'!B18</f>
        <v>9</v>
      </c>
      <c r="M31" s="255">
        <f>J31*(K31+L31)</f>
        <v>104.10000000000001</v>
      </c>
      <c r="N31" s="73"/>
    </row>
    <row r="32" spans="1:14" ht="26.25" x14ac:dyDescent="0.45">
      <c r="A32" s="111"/>
      <c r="G32" s="110"/>
      <c r="H32" s="111"/>
      <c r="I32" s="78" t="s">
        <v>134</v>
      </c>
      <c r="J32" s="292">
        <f>B14</f>
        <v>2</v>
      </c>
      <c r="K32" s="260">
        <f>'Données techniques'!B21+'Données techniques'!B24</f>
        <v>8.6</v>
      </c>
      <c r="L32" s="260">
        <f>'Données techniques'!B20</f>
        <v>8</v>
      </c>
      <c r="M32" s="255">
        <f>J32*(K32+L32)</f>
        <v>33.200000000000003</v>
      </c>
      <c r="N32" s="73"/>
    </row>
    <row r="33" spans="1:14" ht="25.5" customHeight="1" x14ac:dyDescent="0.45">
      <c r="A33" s="111"/>
      <c r="C33" s="114"/>
      <c r="D33" s="114"/>
      <c r="F33" s="114"/>
      <c r="G33" s="141"/>
      <c r="H33" s="144"/>
      <c r="I33" s="79" t="s">
        <v>135</v>
      </c>
      <c r="J33" s="293">
        <f>B15</f>
        <v>1</v>
      </c>
      <c r="K33" s="261">
        <f>'Données techniques'!B23+'Données techniques'!B24</f>
        <v>8.6</v>
      </c>
      <c r="L33" s="261">
        <f>'Données techniques'!B22</f>
        <v>8</v>
      </c>
      <c r="M33" s="255">
        <f>J33*(K33+L33)</f>
        <v>16.600000000000001</v>
      </c>
    </row>
    <row r="34" spans="1:14" ht="14.65" thickBot="1" x14ac:dyDescent="0.5">
      <c r="A34" s="111"/>
      <c r="G34" s="118"/>
      <c r="H34" s="132"/>
      <c r="M34" s="110"/>
    </row>
    <row r="35" spans="1:14" ht="15" thickTop="1" thickBot="1" x14ac:dyDescent="0.5">
      <c r="A35" s="111"/>
      <c r="E35" s="81" t="s">
        <v>91</v>
      </c>
      <c r="F35" s="231">
        <f>SUM(F26:F29)</f>
        <v>0</v>
      </c>
      <c r="G35" s="110"/>
      <c r="H35" s="111"/>
      <c r="L35" s="81" t="s">
        <v>91</v>
      </c>
      <c r="M35" s="231">
        <f>SUM(M26:M33)</f>
        <v>1448.9136367911219</v>
      </c>
      <c r="N35" s="74"/>
    </row>
    <row r="36" spans="1:14" ht="13.9" thickTop="1" thickBot="1" x14ac:dyDescent="0.5">
      <c r="A36" s="119"/>
      <c r="B36" s="120"/>
      <c r="C36" s="120"/>
      <c r="D36" s="120"/>
      <c r="E36" s="120"/>
      <c r="F36" s="120"/>
      <c r="G36" s="136"/>
      <c r="H36" s="119"/>
      <c r="I36" s="120"/>
      <c r="J36" s="120"/>
      <c r="K36" s="120"/>
      <c r="L36" s="120"/>
      <c r="M36" s="136"/>
    </row>
    <row r="37" spans="1:14" ht="14.25" customHeight="1" thickBot="1" x14ac:dyDescent="0.5"/>
    <row r="38" spans="1:14" ht="14.25" customHeight="1" thickTop="1" thickBot="1" x14ac:dyDescent="0.5">
      <c r="E38" s="81" t="s">
        <v>84</v>
      </c>
      <c r="F38" s="105">
        <f>F20+F35</f>
        <v>3300.5739296187685</v>
      </c>
      <c r="L38" s="81" t="s">
        <v>84</v>
      </c>
      <c r="M38" s="230">
        <f>M35+M20</f>
        <v>1448.9136367911219</v>
      </c>
    </row>
    <row r="39" spans="1:14" ht="14.25" customHeight="1" thickTop="1" thickBot="1" x14ac:dyDescent="0.5"/>
    <row r="40" spans="1:14" ht="18.399999999999999" thickBot="1" x14ac:dyDescent="0.5">
      <c r="A40" s="360" t="s">
        <v>115</v>
      </c>
      <c r="B40" s="361"/>
      <c r="C40" s="361"/>
      <c r="D40" s="361"/>
      <c r="E40" s="361"/>
      <c r="F40" s="361"/>
      <c r="G40" s="361"/>
      <c r="H40" s="361"/>
      <c r="I40" s="361"/>
      <c r="J40" s="361"/>
      <c r="K40" s="361"/>
      <c r="L40" s="361"/>
      <c r="M40" s="209">
        <f>F38-M38</f>
        <v>1851.6602928276466</v>
      </c>
    </row>
    <row r="41" spans="1:14" ht="32" customHeight="1" thickBot="1" x14ac:dyDescent="0.5">
      <c r="A41" s="345" t="s">
        <v>136</v>
      </c>
      <c r="B41" s="346"/>
      <c r="C41" s="346"/>
      <c r="D41" s="346"/>
      <c r="E41" s="346"/>
      <c r="F41" s="346"/>
      <c r="G41" s="346"/>
      <c r="H41" s="346"/>
      <c r="I41" s="346"/>
      <c r="J41" s="346"/>
      <c r="K41" s="346"/>
      <c r="L41" s="346"/>
      <c r="M41" s="347"/>
    </row>
    <row r="44" spans="1:14" x14ac:dyDescent="0.45">
      <c r="A44" s="71"/>
    </row>
    <row r="45" spans="1:14" ht="30" customHeight="1" x14ac:dyDescent="0.45">
      <c r="A45" s="232"/>
      <c r="B45" s="232"/>
      <c r="C45" s="232"/>
      <c r="D45" s="232"/>
      <c r="E45" s="232"/>
      <c r="F45" s="232"/>
      <c r="G45" s="232"/>
      <c r="H45" s="232"/>
      <c r="I45" s="232"/>
      <c r="J45" s="232"/>
      <c r="K45" s="232"/>
    </row>
    <row r="46" spans="1:14" x14ac:dyDescent="0.45">
      <c r="A46" s="348"/>
      <c r="B46" s="348"/>
      <c r="C46" s="348"/>
      <c r="D46" s="348"/>
      <c r="E46" s="348"/>
      <c r="F46" s="348"/>
      <c r="G46" s="348"/>
      <c r="H46" s="348"/>
      <c r="I46" s="348"/>
      <c r="J46" s="348"/>
      <c r="K46" s="348"/>
    </row>
  </sheetData>
  <sheetProtection sheet="1" formatColumns="0"/>
  <mergeCells count="14">
    <mergeCell ref="A2:M2"/>
    <mergeCell ref="A46:K46"/>
    <mergeCell ref="A18:A19"/>
    <mergeCell ref="C4:E4"/>
    <mergeCell ref="C6:E6"/>
    <mergeCell ref="C5:E5"/>
    <mergeCell ref="C7:E7"/>
    <mergeCell ref="A10:F10"/>
    <mergeCell ref="I10:M10"/>
    <mergeCell ref="A23:F23"/>
    <mergeCell ref="I23:M23"/>
    <mergeCell ref="C12:D12"/>
    <mergeCell ref="A40:L40"/>
    <mergeCell ref="A41:M41"/>
  </mergeCells>
  <pageMargins left="0.39370078740157483" right="0.39370078740157483" top="0.39370078740157483" bottom="0.39370078740157483" header="0.31496062992125984" footer="0.31496062992125984"/>
  <pageSetup paperSize="5" orientation="landscape" r:id="rId1"/>
  <rowBreaks count="1" manualBreakCount="1">
    <brk id="2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B9A41-AD4D-4313-ABE2-D6710EE47069}">
  <sheetPr>
    <pageSetUpPr fitToPage="1"/>
  </sheetPr>
  <dimension ref="A1:M146"/>
  <sheetViews>
    <sheetView showGridLines="0" zoomScaleNormal="100" workbookViewId="0"/>
  </sheetViews>
  <sheetFormatPr baseColWidth="10" defaultColWidth="9.6640625" defaultRowHeight="14.25" x14ac:dyDescent="0.45"/>
  <cols>
    <col min="1" max="1" width="28.86328125" style="3" customWidth="1"/>
    <col min="2" max="2" width="13" style="3" bestFit="1" customWidth="1"/>
    <col min="3" max="3" width="14.6640625" customWidth="1"/>
    <col min="4" max="4" width="12.6640625" customWidth="1"/>
    <col min="5" max="5" width="13.46484375" customWidth="1"/>
    <col min="6" max="6" width="11.6640625" customWidth="1"/>
    <col min="7" max="7" width="14.46484375" customWidth="1"/>
    <col min="8" max="8" width="6" customWidth="1"/>
  </cols>
  <sheetData>
    <row r="1" spans="1:13" s="22" customFormat="1" ht="64.5" customHeight="1" x14ac:dyDescent="0.45">
      <c r="A1" s="277"/>
      <c r="B1" s="262"/>
    </row>
    <row r="2" spans="1:13" ht="26.45" customHeight="1" x14ac:dyDescent="0.45">
      <c r="A2" s="326" t="s">
        <v>158</v>
      </c>
      <c r="B2" s="326"/>
      <c r="C2" s="326"/>
      <c r="D2" s="326"/>
      <c r="E2" s="326"/>
      <c r="F2" s="326"/>
      <c r="G2" s="326"/>
      <c r="H2" s="324"/>
      <c r="I2" s="324"/>
      <c r="J2" s="324"/>
      <c r="K2" s="324"/>
      <c r="L2" s="324"/>
      <c r="M2" s="324"/>
    </row>
    <row r="3" spans="1:13" x14ac:dyDescent="0.45">
      <c r="A3" s="322"/>
      <c r="B3" s="322"/>
      <c r="C3" s="322"/>
      <c r="D3" s="322"/>
      <c r="E3" s="322"/>
      <c r="F3" s="322"/>
      <c r="G3" s="322"/>
      <c r="H3" s="322"/>
      <c r="I3" s="322"/>
      <c r="J3" s="322"/>
      <c r="K3" s="322"/>
      <c r="L3" s="322"/>
      <c r="M3" s="322"/>
    </row>
    <row r="4" spans="1:13" ht="12.75" customHeight="1" x14ac:dyDescent="0.45">
      <c r="A4" s="263" t="s">
        <v>137</v>
      </c>
      <c r="B4" s="307">
        <f>'BUDGET Acheter ou produire'!M20</f>
        <v>22500</v>
      </c>
      <c r="C4" s="22"/>
      <c r="D4" s="22" t="s">
        <v>138</v>
      </c>
      <c r="F4" s="22"/>
      <c r="G4" s="22"/>
      <c r="H4" s="22"/>
      <c r="I4" s="22"/>
      <c r="J4" s="22"/>
      <c r="K4" s="22"/>
    </row>
    <row r="5" spans="1:13" ht="12.75" customHeight="1" x14ac:dyDescent="0.45">
      <c r="A5" s="263" t="s">
        <v>139</v>
      </c>
      <c r="B5" s="308">
        <v>5</v>
      </c>
      <c r="C5" s="22"/>
      <c r="D5" s="264">
        <f>IF(AND(AND(AND(AND(B6&gt;=1,B7&gt;=1),B8&gt;=1),B4&gt;=0),B5&gt;=0),IF(B5=0,B4/B6/B7,((1+(B5/(B8*100)))^(B8/B7)-1)/(1-((1/(1+((1+(B5/(B8*100)))^(B8/B7)-1))^(B7*B6))))*B4),#VALUE!)</f>
        <v>887.77196173858886</v>
      </c>
      <c r="F5" s="22"/>
      <c r="G5" s="22"/>
      <c r="H5" s="22"/>
      <c r="I5" s="22"/>
      <c r="J5" s="22"/>
      <c r="K5" s="22"/>
    </row>
    <row r="6" spans="1:13" ht="12.75" customHeight="1" x14ac:dyDescent="0.45">
      <c r="A6" s="263" t="s">
        <v>140</v>
      </c>
      <c r="B6" s="308">
        <v>1</v>
      </c>
      <c r="C6" s="22"/>
      <c r="D6" s="22" t="s">
        <v>141</v>
      </c>
      <c r="F6" s="22"/>
      <c r="G6" s="22"/>
      <c r="H6" s="22"/>
      <c r="I6" s="22"/>
      <c r="J6" s="22"/>
      <c r="K6" s="22"/>
    </row>
    <row r="7" spans="1:13" ht="14.65" thickBot="1" x14ac:dyDescent="0.5">
      <c r="A7" s="278" t="s">
        <v>142</v>
      </c>
      <c r="B7" s="310">
        <v>26</v>
      </c>
      <c r="C7" s="22"/>
      <c r="D7" s="264">
        <f>D5*B6*B7-B4</f>
        <v>582.07100520331005</v>
      </c>
      <c r="F7" s="22"/>
      <c r="G7" s="22"/>
      <c r="H7" s="22"/>
      <c r="I7" s="22"/>
      <c r="J7" s="22"/>
      <c r="K7" s="22"/>
    </row>
    <row r="8" spans="1:13" ht="28.9" thickBot="1" x14ac:dyDescent="0.5">
      <c r="A8" s="278" t="s">
        <v>143</v>
      </c>
      <c r="B8" s="311">
        <v>2</v>
      </c>
      <c r="C8" s="22"/>
      <c r="D8" s="363" t="s">
        <v>144</v>
      </c>
      <c r="E8" s="364"/>
      <c r="F8" s="364"/>
      <c r="G8" s="315">
        <f>D7/B6</f>
        <v>582.07100520331005</v>
      </c>
      <c r="H8" s="22"/>
      <c r="I8" s="22"/>
      <c r="J8" s="22"/>
      <c r="K8" s="22"/>
    </row>
    <row r="9" spans="1:13" ht="12.75" customHeight="1" x14ac:dyDescent="0.45">
      <c r="A9" s="263" t="s">
        <v>145</v>
      </c>
      <c r="B9" s="309">
        <v>45292</v>
      </c>
      <c r="C9" s="22"/>
      <c r="F9" s="22"/>
      <c r="G9" s="264"/>
      <c r="H9" s="22"/>
      <c r="I9" s="22"/>
      <c r="J9" s="22"/>
      <c r="K9" s="22"/>
    </row>
    <row r="10" spans="1:13" ht="12.75" customHeight="1" x14ac:dyDescent="0.45">
      <c r="A10" s="263"/>
      <c r="B10" s="279"/>
      <c r="C10" s="22"/>
      <c r="F10" s="22"/>
      <c r="G10" s="264"/>
      <c r="H10" s="22"/>
      <c r="I10" s="22"/>
      <c r="J10" s="22"/>
      <c r="K10" s="22"/>
    </row>
    <row r="11" spans="1:13" ht="12.75" customHeight="1" x14ac:dyDescent="0.45">
      <c r="A11" s="313" t="s">
        <v>146</v>
      </c>
      <c r="B11" s="279"/>
      <c r="C11" s="22"/>
      <c r="F11" s="22"/>
      <c r="G11" s="264"/>
      <c r="H11" s="22"/>
      <c r="I11" s="22"/>
      <c r="J11" s="22"/>
      <c r="K11" s="22"/>
    </row>
    <row r="12" spans="1:13" x14ac:dyDescent="0.45">
      <c r="A12" s="262"/>
      <c r="B12" s="262"/>
      <c r="C12" s="22"/>
      <c r="D12" s="22"/>
      <c r="E12" s="22"/>
      <c r="F12" s="22"/>
      <c r="G12" s="22"/>
      <c r="H12" s="22"/>
      <c r="I12" s="22"/>
      <c r="J12" s="22"/>
      <c r="K12" s="22"/>
    </row>
    <row r="13" spans="1:13" ht="21.75" customHeight="1" x14ac:dyDescent="0.45">
      <c r="A13" s="362" t="s">
        <v>147</v>
      </c>
      <c r="B13" s="362"/>
      <c r="C13" s="362"/>
      <c r="D13" s="362"/>
      <c r="E13" s="362"/>
      <c r="F13" s="362"/>
      <c r="G13" s="362"/>
      <c r="H13" s="22"/>
      <c r="I13" s="22"/>
      <c r="J13" s="22"/>
      <c r="K13" s="22"/>
    </row>
    <row r="14" spans="1:13" ht="30" customHeight="1" x14ac:dyDescent="0.45">
      <c r="A14" s="265" t="s">
        <v>148</v>
      </c>
      <c r="B14" s="266" t="s">
        <v>149</v>
      </c>
      <c r="C14" s="266" t="s">
        <v>150</v>
      </c>
      <c r="D14" s="266" t="s">
        <v>151</v>
      </c>
      <c r="E14" s="267" t="s">
        <v>152</v>
      </c>
      <c r="F14" s="267" t="s">
        <v>153</v>
      </c>
      <c r="G14" s="268" t="s">
        <v>154</v>
      </c>
      <c r="H14" s="22"/>
      <c r="I14" s="22"/>
      <c r="J14" s="22"/>
      <c r="K14" s="22"/>
    </row>
    <row r="15" spans="1:13" ht="14.25" customHeight="1" x14ac:dyDescent="0.45">
      <c r="A15" s="269">
        <v>0</v>
      </c>
      <c r="B15" s="262"/>
      <c r="C15" s="270">
        <f>B4</f>
        <v>22500</v>
      </c>
      <c r="D15" s="22"/>
      <c r="E15" s="22"/>
      <c r="F15" s="22"/>
      <c r="G15" s="271">
        <f>B4</f>
        <v>22500</v>
      </c>
      <c r="H15" s="22"/>
      <c r="I15" s="22"/>
      <c r="J15" s="22"/>
      <c r="K15" s="22"/>
    </row>
    <row r="16" spans="1:13" x14ac:dyDescent="0.45">
      <c r="A16" s="269">
        <v>1</v>
      </c>
      <c r="B16" s="272">
        <f>365/$B$7+B9</f>
        <v>45306.038461538461</v>
      </c>
      <c r="C16" s="270">
        <f>B4</f>
        <v>22500</v>
      </c>
      <c r="D16" s="270">
        <f>ROUND(IF(C16+E16&lt;$D$5,C16+E16,$D$5),2)</f>
        <v>887.77</v>
      </c>
      <c r="E16" s="270">
        <f>ROUND(((1+(B5/($B$8*100)))^($B$8/$B$7)-1)*C16,2)</f>
        <v>42.78</v>
      </c>
      <c r="F16" s="270">
        <f>D16-E16</f>
        <v>844.99</v>
      </c>
      <c r="G16" s="271">
        <f t="shared" ref="G16:G47" si="0">IF(OR(G15=0,G15=""),"",ROUND(C16-F16,2))</f>
        <v>21655.01</v>
      </c>
      <c r="H16" s="22"/>
      <c r="I16" s="22"/>
      <c r="J16" s="22"/>
      <c r="K16" s="22"/>
    </row>
    <row r="17" spans="1:11" ht="12" customHeight="1" x14ac:dyDescent="0.45">
      <c r="A17" s="269">
        <f t="shared" ref="A17:A48" si="1">IF(OR(G16=0,G16=""),"",(1+A16))</f>
        <v>2</v>
      </c>
      <c r="B17" s="272">
        <f t="shared" ref="B17:B48" si="2">IF(OR(G16=0,G16=""),"",(365/$B$7+B16))</f>
        <v>45320.076923076922</v>
      </c>
      <c r="C17" s="270">
        <f t="shared" ref="C17:C48" si="3">IF(OR(G16=0,G16=""),"",ROUND(G16,2))</f>
        <v>21655.01</v>
      </c>
      <c r="D17" s="270">
        <f t="shared" ref="D17:D48" si="4">IF(OR(G16=0,G16=""),"",ROUND(IF(C17+E17&lt;$D$5,C17+E17,$D$5),2))</f>
        <v>887.77</v>
      </c>
      <c r="E17" s="270">
        <f t="shared" ref="E17:E48" si="5">IF(OR(G16=0,G16=""),"",ROUND(((1+($B$5/($B$8*100)))^($B$8/$B$7)-1)*C17,2))</f>
        <v>41.17</v>
      </c>
      <c r="F17" s="270">
        <f t="shared" ref="F17:F48" si="6">IF(OR(G16=0,G16=""),"",D17-E17)</f>
        <v>846.6</v>
      </c>
      <c r="G17" s="271">
        <f t="shared" si="0"/>
        <v>20808.41</v>
      </c>
      <c r="H17" s="22"/>
      <c r="I17" s="22"/>
      <c r="J17" s="22"/>
      <c r="K17" s="22"/>
    </row>
    <row r="18" spans="1:11" ht="12" customHeight="1" x14ac:dyDescent="0.45">
      <c r="A18" s="269">
        <f t="shared" si="1"/>
        <v>3</v>
      </c>
      <c r="B18" s="272">
        <f t="shared" si="2"/>
        <v>45334.115384615383</v>
      </c>
      <c r="C18" s="270">
        <f t="shared" si="3"/>
        <v>20808.41</v>
      </c>
      <c r="D18" s="270">
        <f t="shared" si="4"/>
        <v>887.77</v>
      </c>
      <c r="E18" s="270">
        <f t="shared" si="5"/>
        <v>39.56</v>
      </c>
      <c r="F18" s="270">
        <f t="shared" si="6"/>
        <v>848.21</v>
      </c>
      <c r="G18" s="271">
        <f t="shared" si="0"/>
        <v>19960.2</v>
      </c>
      <c r="H18" s="22"/>
      <c r="I18" s="22"/>
      <c r="J18" s="22"/>
      <c r="K18" s="22"/>
    </row>
    <row r="19" spans="1:11" ht="12" customHeight="1" x14ac:dyDescent="0.45">
      <c r="A19" s="269">
        <f t="shared" si="1"/>
        <v>4</v>
      </c>
      <c r="B19" s="272">
        <f t="shared" si="2"/>
        <v>45348.153846153844</v>
      </c>
      <c r="C19" s="270">
        <f t="shared" si="3"/>
        <v>19960.2</v>
      </c>
      <c r="D19" s="270">
        <f t="shared" si="4"/>
        <v>887.77</v>
      </c>
      <c r="E19" s="270">
        <f t="shared" si="5"/>
        <v>37.950000000000003</v>
      </c>
      <c r="F19" s="270">
        <f t="shared" si="6"/>
        <v>849.81999999999994</v>
      </c>
      <c r="G19" s="271">
        <f t="shared" si="0"/>
        <v>19110.38</v>
      </c>
      <c r="H19" s="22"/>
      <c r="I19" s="22"/>
      <c r="J19" s="22"/>
      <c r="K19" s="22"/>
    </row>
    <row r="20" spans="1:11" ht="12" customHeight="1" x14ac:dyDescent="0.45">
      <c r="A20" s="269">
        <f t="shared" si="1"/>
        <v>5</v>
      </c>
      <c r="B20" s="272">
        <f t="shared" si="2"/>
        <v>45362.192307692305</v>
      </c>
      <c r="C20" s="270">
        <f t="shared" si="3"/>
        <v>19110.38</v>
      </c>
      <c r="D20" s="270">
        <f t="shared" si="4"/>
        <v>887.77</v>
      </c>
      <c r="E20" s="270">
        <f t="shared" si="5"/>
        <v>36.33</v>
      </c>
      <c r="F20" s="270">
        <f t="shared" si="6"/>
        <v>851.43999999999994</v>
      </c>
      <c r="G20" s="271">
        <f t="shared" si="0"/>
        <v>18258.939999999999</v>
      </c>
      <c r="H20" s="22"/>
      <c r="I20" s="22"/>
      <c r="J20" s="22"/>
      <c r="K20" s="22"/>
    </row>
    <row r="21" spans="1:11" ht="12" customHeight="1" x14ac:dyDescent="0.45">
      <c r="A21" s="269">
        <f t="shared" si="1"/>
        <v>6</v>
      </c>
      <c r="B21" s="272">
        <f t="shared" si="2"/>
        <v>45376.230769230766</v>
      </c>
      <c r="C21" s="270">
        <f t="shared" si="3"/>
        <v>18258.939999999999</v>
      </c>
      <c r="D21" s="270">
        <f t="shared" si="4"/>
        <v>887.77</v>
      </c>
      <c r="E21" s="270">
        <f t="shared" si="5"/>
        <v>34.71</v>
      </c>
      <c r="F21" s="270">
        <f t="shared" si="6"/>
        <v>853.06</v>
      </c>
      <c r="G21" s="271">
        <f t="shared" si="0"/>
        <v>17405.88</v>
      </c>
      <c r="H21" s="22"/>
      <c r="I21" s="22"/>
      <c r="J21" s="22"/>
      <c r="K21" s="22"/>
    </row>
    <row r="22" spans="1:11" ht="12" customHeight="1" x14ac:dyDescent="0.45">
      <c r="A22" s="269">
        <f t="shared" si="1"/>
        <v>7</v>
      </c>
      <c r="B22" s="272">
        <f t="shared" si="2"/>
        <v>45390.269230769227</v>
      </c>
      <c r="C22" s="270">
        <f t="shared" si="3"/>
        <v>17405.88</v>
      </c>
      <c r="D22" s="270">
        <f t="shared" si="4"/>
        <v>887.77</v>
      </c>
      <c r="E22" s="270">
        <f t="shared" si="5"/>
        <v>33.090000000000003</v>
      </c>
      <c r="F22" s="270">
        <f t="shared" si="6"/>
        <v>854.68</v>
      </c>
      <c r="G22" s="271">
        <f t="shared" si="0"/>
        <v>16551.2</v>
      </c>
      <c r="H22" s="22"/>
      <c r="I22" s="22"/>
      <c r="J22" s="22"/>
      <c r="K22" s="22"/>
    </row>
    <row r="23" spans="1:11" ht="12" customHeight="1" x14ac:dyDescent="0.45">
      <c r="A23" s="269">
        <f t="shared" si="1"/>
        <v>8</v>
      </c>
      <c r="B23" s="272">
        <f t="shared" si="2"/>
        <v>45404.307692307688</v>
      </c>
      <c r="C23" s="270">
        <f t="shared" si="3"/>
        <v>16551.2</v>
      </c>
      <c r="D23" s="270">
        <f t="shared" si="4"/>
        <v>887.77</v>
      </c>
      <c r="E23" s="270">
        <f t="shared" si="5"/>
        <v>31.47</v>
      </c>
      <c r="F23" s="270">
        <f t="shared" si="6"/>
        <v>856.3</v>
      </c>
      <c r="G23" s="271">
        <f t="shared" si="0"/>
        <v>15694.9</v>
      </c>
      <c r="H23" s="22"/>
      <c r="I23" s="22"/>
      <c r="J23" s="22"/>
      <c r="K23" s="22"/>
    </row>
    <row r="24" spans="1:11" ht="12" customHeight="1" x14ac:dyDescent="0.45">
      <c r="A24" s="269">
        <f t="shared" si="1"/>
        <v>9</v>
      </c>
      <c r="B24" s="272">
        <f t="shared" si="2"/>
        <v>45418.346153846149</v>
      </c>
      <c r="C24" s="270">
        <f t="shared" si="3"/>
        <v>15694.9</v>
      </c>
      <c r="D24" s="270">
        <f t="shared" si="4"/>
        <v>887.77</v>
      </c>
      <c r="E24" s="270">
        <f t="shared" si="5"/>
        <v>29.84</v>
      </c>
      <c r="F24" s="270">
        <f t="shared" si="6"/>
        <v>857.93</v>
      </c>
      <c r="G24" s="271">
        <f t="shared" si="0"/>
        <v>14836.97</v>
      </c>
      <c r="H24" s="22"/>
      <c r="I24" s="22"/>
      <c r="J24" s="22"/>
      <c r="K24" s="22"/>
    </row>
    <row r="25" spans="1:11" ht="12" customHeight="1" x14ac:dyDescent="0.45">
      <c r="A25" s="269">
        <f t="shared" si="1"/>
        <v>10</v>
      </c>
      <c r="B25" s="272">
        <f t="shared" si="2"/>
        <v>45432.38461538461</v>
      </c>
      <c r="C25" s="270">
        <f t="shared" si="3"/>
        <v>14836.97</v>
      </c>
      <c r="D25" s="270">
        <f t="shared" si="4"/>
        <v>887.77</v>
      </c>
      <c r="E25" s="270">
        <f t="shared" si="5"/>
        <v>28.21</v>
      </c>
      <c r="F25" s="270">
        <f t="shared" si="6"/>
        <v>859.56</v>
      </c>
      <c r="G25" s="271">
        <f t="shared" si="0"/>
        <v>13977.41</v>
      </c>
      <c r="H25" s="22"/>
      <c r="I25" s="22"/>
      <c r="J25" s="22"/>
      <c r="K25" s="22"/>
    </row>
    <row r="26" spans="1:11" ht="12" customHeight="1" x14ac:dyDescent="0.45">
      <c r="A26" s="269">
        <f t="shared" si="1"/>
        <v>11</v>
      </c>
      <c r="B26" s="272">
        <f t="shared" si="2"/>
        <v>45446.423076923071</v>
      </c>
      <c r="C26" s="270">
        <f t="shared" si="3"/>
        <v>13977.41</v>
      </c>
      <c r="D26" s="270">
        <f t="shared" si="4"/>
        <v>887.77</v>
      </c>
      <c r="E26" s="270">
        <f t="shared" si="5"/>
        <v>26.57</v>
      </c>
      <c r="F26" s="270">
        <f t="shared" si="6"/>
        <v>861.19999999999993</v>
      </c>
      <c r="G26" s="271">
        <f t="shared" si="0"/>
        <v>13116.21</v>
      </c>
      <c r="H26" s="22"/>
      <c r="I26" s="22"/>
      <c r="J26" s="22"/>
      <c r="K26" s="22"/>
    </row>
    <row r="27" spans="1:11" ht="12" customHeight="1" x14ac:dyDescent="0.45">
      <c r="A27" s="269">
        <f t="shared" si="1"/>
        <v>12</v>
      </c>
      <c r="B27" s="272">
        <f t="shared" si="2"/>
        <v>45460.461538461532</v>
      </c>
      <c r="C27" s="270">
        <f t="shared" si="3"/>
        <v>13116.21</v>
      </c>
      <c r="D27" s="270">
        <f t="shared" si="4"/>
        <v>887.77</v>
      </c>
      <c r="E27" s="270">
        <f t="shared" si="5"/>
        <v>24.94</v>
      </c>
      <c r="F27" s="270">
        <f t="shared" si="6"/>
        <v>862.82999999999993</v>
      </c>
      <c r="G27" s="271">
        <f t="shared" si="0"/>
        <v>12253.38</v>
      </c>
      <c r="H27" s="22"/>
      <c r="I27" s="22"/>
      <c r="J27" s="22"/>
      <c r="K27" s="22"/>
    </row>
    <row r="28" spans="1:11" ht="12" customHeight="1" x14ac:dyDescent="0.45">
      <c r="A28" s="269">
        <f t="shared" si="1"/>
        <v>13</v>
      </c>
      <c r="B28" s="272">
        <f t="shared" si="2"/>
        <v>45474.499999999993</v>
      </c>
      <c r="C28" s="270">
        <f t="shared" si="3"/>
        <v>12253.38</v>
      </c>
      <c r="D28" s="270">
        <f t="shared" si="4"/>
        <v>887.77</v>
      </c>
      <c r="E28" s="270">
        <f t="shared" si="5"/>
        <v>23.3</v>
      </c>
      <c r="F28" s="270">
        <f t="shared" si="6"/>
        <v>864.47</v>
      </c>
      <c r="G28" s="271">
        <f t="shared" si="0"/>
        <v>11388.91</v>
      </c>
      <c r="H28" s="22"/>
      <c r="I28" s="22"/>
      <c r="J28" s="22"/>
      <c r="K28" s="22"/>
    </row>
    <row r="29" spans="1:11" ht="12" customHeight="1" x14ac:dyDescent="0.45">
      <c r="A29" s="269">
        <f t="shared" si="1"/>
        <v>14</v>
      </c>
      <c r="B29" s="272">
        <f t="shared" si="2"/>
        <v>45488.538461538454</v>
      </c>
      <c r="C29" s="270">
        <f t="shared" si="3"/>
        <v>11388.91</v>
      </c>
      <c r="D29" s="270">
        <f t="shared" si="4"/>
        <v>887.77</v>
      </c>
      <c r="E29" s="270">
        <f t="shared" si="5"/>
        <v>21.65</v>
      </c>
      <c r="F29" s="270">
        <f t="shared" si="6"/>
        <v>866.12</v>
      </c>
      <c r="G29" s="271">
        <f t="shared" si="0"/>
        <v>10522.79</v>
      </c>
      <c r="H29" s="22"/>
      <c r="I29" s="22"/>
      <c r="J29" s="22"/>
      <c r="K29" s="22"/>
    </row>
    <row r="30" spans="1:11" ht="12" customHeight="1" x14ac:dyDescent="0.45">
      <c r="A30" s="269">
        <f t="shared" si="1"/>
        <v>15</v>
      </c>
      <c r="B30" s="272">
        <f t="shared" si="2"/>
        <v>45502.576923076915</v>
      </c>
      <c r="C30" s="270">
        <f t="shared" si="3"/>
        <v>10522.79</v>
      </c>
      <c r="D30" s="270">
        <f t="shared" si="4"/>
        <v>887.77</v>
      </c>
      <c r="E30" s="270">
        <f t="shared" si="5"/>
        <v>20.010000000000002</v>
      </c>
      <c r="F30" s="270">
        <f t="shared" si="6"/>
        <v>867.76</v>
      </c>
      <c r="G30" s="271">
        <f t="shared" si="0"/>
        <v>9655.0300000000007</v>
      </c>
      <c r="H30" s="22"/>
      <c r="I30" s="22"/>
      <c r="J30" s="22"/>
      <c r="K30" s="22"/>
    </row>
    <row r="31" spans="1:11" ht="12" customHeight="1" x14ac:dyDescent="0.45">
      <c r="A31" s="269">
        <f t="shared" si="1"/>
        <v>16</v>
      </c>
      <c r="B31" s="272">
        <f t="shared" si="2"/>
        <v>45516.615384615376</v>
      </c>
      <c r="C31" s="270">
        <f t="shared" si="3"/>
        <v>9655.0300000000007</v>
      </c>
      <c r="D31" s="270">
        <f t="shared" si="4"/>
        <v>887.77</v>
      </c>
      <c r="E31" s="270">
        <f t="shared" si="5"/>
        <v>18.36</v>
      </c>
      <c r="F31" s="270">
        <f t="shared" si="6"/>
        <v>869.41</v>
      </c>
      <c r="G31" s="271">
        <f t="shared" si="0"/>
        <v>8785.6200000000008</v>
      </c>
      <c r="H31" s="22"/>
      <c r="I31" s="22"/>
      <c r="J31" s="22"/>
      <c r="K31" s="22"/>
    </row>
    <row r="32" spans="1:11" ht="12" customHeight="1" x14ac:dyDescent="0.45">
      <c r="A32" s="269">
        <f t="shared" si="1"/>
        <v>17</v>
      </c>
      <c r="B32" s="272">
        <f t="shared" si="2"/>
        <v>45530.653846153837</v>
      </c>
      <c r="C32" s="270">
        <f t="shared" si="3"/>
        <v>8785.6200000000008</v>
      </c>
      <c r="D32" s="270">
        <f t="shared" si="4"/>
        <v>887.77</v>
      </c>
      <c r="E32" s="270">
        <f t="shared" si="5"/>
        <v>16.7</v>
      </c>
      <c r="F32" s="270">
        <f t="shared" si="6"/>
        <v>871.06999999999994</v>
      </c>
      <c r="G32" s="271">
        <f t="shared" si="0"/>
        <v>7914.55</v>
      </c>
      <c r="H32" s="22"/>
      <c r="I32" s="22"/>
      <c r="J32" s="22"/>
      <c r="K32" s="22"/>
    </row>
    <row r="33" spans="1:11" ht="12" customHeight="1" x14ac:dyDescent="0.45">
      <c r="A33" s="269">
        <f t="shared" si="1"/>
        <v>18</v>
      </c>
      <c r="B33" s="272">
        <f t="shared" si="2"/>
        <v>45544.692307692298</v>
      </c>
      <c r="C33" s="270">
        <f t="shared" si="3"/>
        <v>7914.55</v>
      </c>
      <c r="D33" s="270">
        <f t="shared" si="4"/>
        <v>887.77</v>
      </c>
      <c r="E33" s="270">
        <f t="shared" si="5"/>
        <v>15.05</v>
      </c>
      <c r="F33" s="270">
        <f t="shared" si="6"/>
        <v>872.72</v>
      </c>
      <c r="G33" s="271">
        <f t="shared" si="0"/>
        <v>7041.83</v>
      </c>
      <c r="H33" s="22"/>
      <c r="I33" s="22"/>
      <c r="J33" s="22"/>
      <c r="K33" s="22"/>
    </row>
    <row r="34" spans="1:11" ht="12" customHeight="1" x14ac:dyDescent="0.45">
      <c r="A34" s="269">
        <f t="shared" si="1"/>
        <v>19</v>
      </c>
      <c r="B34" s="272">
        <f t="shared" si="2"/>
        <v>45558.730769230759</v>
      </c>
      <c r="C34" s="270">
        <f t="shared" si="3"/>
        <v>7041.83</v>
      </c>
      <c r="D34" s="270">
        <f t="shared" si="4"/>
        <v>887.77</v>
      </c>
      <c r="E34" s="270">
        <f t="shared" si="5"/>
        <v>13.39</v>
      </c>
      <c r="F34" s="270">
        <f t="shared" si="6"/>
        <v>874.38</v>
      </c>
      <c r="G34" s="271">
        <f t="shared" si="0"/>
        <v>6167.45</v>
      </c>
      <c r="H34" s="22"/>
      <c r="I34" s="22"/>
      <c r="J34" s="22"/>
      <c r="K34" s="22"/>
    </row>
    <row r="35" spans="1:11" ht="12" customHeight="1" x14ac:dyDescent="0.45">
      <c r="A35" s="269">
        <f t="shared" si="1"/>
        <v>20</v>
      </c>
      <c r="B35" s="272">
        <f t="shared" si="2"/>
        <v>45572.76923076922</v>
      </c>
      <c r="C35" s="270">
        <f t="shared" si="3"/>
        <v>6167.45</v>
      </c>
      <c r="D35" s="270">
        <f t="shared" si="4"/>
        <v>887.77</v>
      </c>
      <c r="E35" s="270">
        <f t="shared" si="5"/>
        <v>11.73</v>
      </c>
      <c r="F35" s="270">
        <f t="shared" si="6"/>
        <v>876.04</v>
      </c>
      <c r="G35" s="271">
        <f t="shared" si="0"/>
        <v>5291.41</v>
      </c>
      <c r="H35" s="22"/>
      <c r="I35" s="22"/>
      <c r="J35" s="22"/>
      <c r="K35" s="22"/>
    </row>
    <row r="36" spans="1:11" ht="12" customHeight="1" x14ac:dyDescent="0.45">
      <c r="A36" s="269">
        <f t="shared" si="1"/>
        <v>21</v>
      </c>
      <c r="B36" s="272">
        <f t="shared" si="2"/>
        <v>45586.807692307681</v>
      </c>
      <c r="C36" s="270">
        <f t="shared" si="3"/>
        <v>5291.41</v>
      </c>
      <c r="D36" s="270">
        <f t="shared" si="4"/>
        <v>887.77</v>
      </c>
      <c r="E36" s="270">
        <f t="shared" si="5"/>
        <v>10.06</v>
      </c>
      <c r="F36" s="270">
        <f t="shared" si="6"/>
        <v>877.71</v>
      </c>
      <c r="G36" s="271">
        <f t="shared" si="0"/>
        <v>4413.7</v>
      </c>
      <c r="H36" s="22"/>
      <c r="I36" s="22"/>
      <c r="J36" s="22"/>
      <c r="K36" s="22"/>
    </row>
    <row r="37" spans="1:11" ht="12" customHeight="1" x14ac:dyDescent="0.45">
      <c r="A37" s="269">
        <f t="shared" si="1"/>
        <v>22</v>
      </c>
      <c r="B37" s="272">
        <f t="shared" si="2"/>
        <v>45600.846153846142</v>
      </c>
      <c r="C37" s="270">
        <f t="shared" si="3"/>
        <v>4413.7</v>
      </c>
      <c r="D37" s="270">
        <f t="shared" si="4"/>
        <v>887.77</v>
      </c>
      <c r="E37" s="270">
        <f t="shared" si="5"/>
        <v>8.39</v>
      </c>
      <c r="F37" s="270">
        <f t="shared" si="6"/>
        <v>879.38</v>
      </c>
      <c r="G37" s="271">
        <f t="shared" si="0"/>
        <v>3534.32</v>
      </c>
      <c r="H37" s="22"/>
      <c r="I37" s="22"/>
      <c r="J37" s="22"/>
      <c r="K37" s="22"/>
    </row>
    <row r="38" spans="1:11" ht="12" customHeight="1" x14ac:dyDescent="0.45">
      <c r="A38" s="269">
        <f t="shared" si="1"/>
        <v>23</v>
      </c>
      <c r="B38" s="272">
        <f t="shared" si="2"/>
        <v>45614.884615384603</v>
      </c>
      <c r="C38" s="270">
        <f t="shared" si="3"/>
        <v>3534.32</v>
      </c>
      <c r="D38" s="270">
        <f t="shared" si="4"/>
        <v>887.77</v>
      </c>
      <c r="E38" s="270">
        <f t="shared" si="5"/>
        <v>6.72</v>
      </c>
      <c r="F38" s="270">
        <f t="shared" si="6"/>
        <v>881.05</v>
      </c>
      <c r="G38" s="271">
        <f t="shared" si="0"/>
        <v>2653.27</v>
      </c>
      <c r="H38" s="22"/>
      <c r="I38" s="22"/>
      <c r="J38" s="22"/>
      <c r="K38" s="22"/>
    </row>
    <row r="39" spans="1:11" ht="12" customHeight="1" x14ac:dyDescent="0.45">
      <c r="A39" s="269">
        <f t="shared" si="1"/>
        <v>24</v>
      </c>
      <c r="B39" s="272">
        <f t="shared" si="2"/>
        <v>45628.923076923063</v>
      </c>
      <c r="C39" s="270">
        <f t="shared" si="3"/>
        <v>2653.27</v>
      </c>
      <c r="D39" s="270">
        <f t="shared" si="4"/>
        <v>887.77</v>
      </c>
      <c r="E39" s="270">
        <f t="shared" si="5"/>
        <v>5.04</v>
      </c>
      <c r="F39" s="270">
        <f t="shared" si="6"/>
        <v>882.73</v>
      </c>
      <c r="G39" s="271">
        <f t="shared" si="0"/>
        <v>1770.54</v>
      </c>
      <c r="H39" s="22"/>
      <c r="I39" s="22"/>
      <c r="J39" s="22"/>
      <c r="K39" s="22"/>
    </row>
    <row r="40" spans="1:11" ht="12" customHeight="1" x14ac:dyDescent="0.45">
      <c r="A40" s="269">
        <f t="shared" si="1"/>
        <v>25</v>
      </c>
      <c r="B40" s="272">
        <f t="shared" si="2"/>
        <v>45642.961538461524</v>
      </c>
      <c r="C40" s="270">
        <f t="shared" si="3"/>
        <v>1770.54</v>
      </c>
      <c r="D40" s="270">
        <f t="shared" si="4"/>
        <v>887.77</v>
      </c>
      <c r="E40" s="270">
        <f t="shared" si="5"/>
        <v>3.37</v>
      </c>
      <c r="F40" s="270">
        <f t="shared" si="6"/>
        <v>884.4</v>
      </c>
      <c r="G40" s="271">
        <f t="shared" si="0"/>
        <v>886.14</v>
      </c>
      <c r="H40" s="22"/>
      <c r="I40" s="22"/>
      <c r="J40" s="22"/>
      <c r="K40" s="22"/>
    </row>
    <row r="41" spans="1:11" ht="12" customHeight="1" x14ac:dyDescent="0.45">
      <c r="A41" s="269">
        <f t="shared" si="1"/>
        <v>26</v>
      </c>
      <c r="B41" s="272">
        <f t="shared" si="2"/>
        <v>45656.999999999985</v>
      </c>
      <c r="C41" s="270">
        <f t="shared" si="3"/>
        <v>886.14</v>
      </c>
      <c r="D41" s="270">
        <f t="shared" si="4"/>
        <v>887.77</v>
      </c>
      <c r="E41" s="270">
        <f t="shared" si="5"/>
        <v>1.68</v>
      </c>
      <c r="F41" s="270">
        <f t="shared" si="6"/>
        <v>886.09</v>
      </c>
      <c r="G41" s="271">
        <f t="shared" si="0"/>
        <v>0.05</v>
      </c>
      <c r="H41" s="22"/>
      <c r="I41" s="22"/>
      <c r="J41" s="22"/>
      <c r="K41" s="22"/>
    </row>
    <row r="42" spans="1:11" ht="12" customHeight="1" x14ac:dyDescent="0.45">
      <c r="A42" s="269">
        <f t="shared" si="1"/>
        <v>27</v>
      </c>
      <c r="B42" s="272">
        <f t="shared" si="2"/>
        <v>45671.038461538446</v>
      </c>
      <c r="C42" s="270">
        <f t="shared" si="3"/>
        <v>0.05</v>
      </c>
      <c r="D42" s="270">
        <f t="shared" si="4"/>
        <v>0.05</v>
      </c>
      <c r="E42" s="270">
        <f t="shared" si="5"/>
        <v>0</v>
      </c>
      <c r="F42" s="270">
        <f t="shared" si="6"/>
        <v>0.05</v>
      </c>
      <c r="G42" s="271">
        <f t="shared" si="0"/>
        <v>0</v>
      </c>
      <c r="H42" s="22"/>
      <c r="I42" s="22"/>
      <c r="J42" s="22"/>
      <c r="K42" s="22"/>
    </row>
    <row r="43" spans="1:11" ht="12" customHeight="1" x14ac:dyDescent="0.45">
      <c r="A43" s="269" t="str">
        <f t="shared" si="1"/>
        <v/>
      </c>
      <c r="B43" s="272" t="str">
        <f t="shared" si="2"/>
        <v/>
      </c>
      <c r="C43" s="270" t="str">
        <f t="shared" si="3"/>
        <v/>
      </c>
      <c r="D43" s="270" t="str">
        <f t="shared" si="4"/>
        <v/>
      </c>
      <c r="E43" s="270" t="str">
        <f t="shared" si="5"/>
        <v/>
      </c>
      <c r="F43" s="270" t="str">
        <f t="shared" si="6"/>
        <v/>
      </c>
      <c r="G43" s="271" t="str">
        <f t="shared" si="0"/>
        <v/>
      </c>
      <c r="H43" s="22"/>
      <c r="I43" s="22"/>
      <c r="J43" s="22"/>
      <c r="K43" s="22"/>
    </row>
    <row r="44" spans="1:11" ht="12" customHeight="1" x14ac:dyDescent="0.45">
      <c r="A44" s="269" t="str">
        <f t="shared" si="1"/>
        <v/>
      </c>
      <c r="B44" s="272" t="str">
        <f t="shared" si="2"/>
        <v/>
      </c>
      <c r="C44" s="270" t="str">
        <f t="shared" si="3"/>
        <v/>
      </c>
      <c r="D44" s="270" t="str">
        <f t="shared" si="4"/>
        <v/>
      </c>
      <c r="E44" s="270" t="str">
        <f t="shared" si="5"/>
        <v/>
      </c>
      <c r="F44" s="270" t="str">
        <f t="shared" si="6"/>
        <v/>
      </c>
      <c r="G44" s="271" t="str">
        <f t="shared" si="0"/>
        <v/>
      </c>
      <c r="H44" s="22"/>
      <c r="I44" s="22"/>
      <c r="J44" s="22"/>
      <c r="K44" s="22"/>
    </row>
    <row r="45" spans="1:11" ht="12" customHeight="1" x14ac:dyDescent="0.45">
      <c r="A45" s="269" t="str">
        <f t="shared" si="1"/>
        <v/>
      </c>
      <c r="B45" s="272" t="str">
        <f t="shared" si="2"/>
        <v/>
      </c>
      <c r="C45" s="270" t="str">
        <f t="shared" si="3"/>
        <v/>
      </c>
      <c r="D45" s="270" t="str">
        <f t="shared" si="4"/>
        <v/>
      </c>
      <c r="E45" s="270" t="str">
        <f t="shared" si="5"/>
        <v/>
      </c>
      <c r="F45" s="270" t="str">
        <f t="shared" si="6"/>
        <v/>
      </c>
      <c r="G45" s="271" t="str">
        <f t="shared" si="0"/>
        <v/>
      </c>
      <c r="H45" s="22"/>
      <c r="I45" s="22"/>
      <c r="J45" s="22"/>
      <c r="K45" s="22"/>
    </row>
    <row r="46" spans="1:11" ht="12" customHeight="1" x14ac:dyDescent="0.45">
      <c r="A46" s="269" t="str">
        <f t="shared" si="1"/>
        <v/>
      </c>
      <c r="B46" s="272" t="str">
        <f t="shared" si="2"/>
        <v/>
      </c>
      <c r="C46" s="270" t="str">
        <f t="shared" si="3"/>
        <v/>
      </c>
      <c r="D46" s="270" t="str">
        <f t="shared" si="4"/>
        <v/>
      </c>
      <c r="E46" s="270" t="str">
        <f t="shared" si="5"/>
        <v/>
      </c>
      <c r="F46" s="270" t="str">
        <f t="shared" si="6"/>
        <v/>
      </c>
      <c r="G46" s="271" t="str">
        <f t="shared" si="0"/>
        <v/>
      </c>
      <c r="H46" s="22"/>
      <c r="I46" s="22"/>
      <c r="J46" s="22"/>
      <c r="K46" s="22"/>
    </row>
    <row r="47" spans="1:11" ht="12" customHeight="1" x14ac:dyDescent="0.45">
      <c r="A47" s="269" t="str">
        <f t="shared" si="1"/>
        <v/>
      </c>
      <c r="B47" s="272" t="str">
        <f t="shared" si="2"/>
        <v/>
      </c>
      <c r="C47" s="270" t="str">
        <f t="shared" si="3"/>
        <v/>
      </c>
      <c r="D47" s="270" t="str">
        <f t="shared" si="4"/>
        <v/>
      </c>
      <c r="E47" s="270" t="str">
        <f t="shared" si="5"/>
        <v/>
      </c>
      <c r="F47" s="270" t="str">
        <f t="shared" si="6"/>
        <v/>
      </c>
      <c r="G47" s="271" t="str">
        <f t="shared" si="0"/>
        <v/>
      </c>
      <c r="H47" s="22"/>
      <c r="I47" s="22"/>
      <c r="J47" s="22"/>
      <c r="K47" s="22"/>
    </row>
    <row r="48" spans="1:11" ht="12" customHeight="1" x14ac:dyDescent="0.45">
      <c r="A48" s="269" t="str">
        <f t="shared" si="1"/>
        <v/>
      </c>
      <c r="B48" s="272" t="str">
        <f t="shared" si="2"/>
        <v/>
      </c>
      <c r="C48" s="270" t="str">
        <f t="shared" si="3"/>
        <v/>
      </c>
      <c r="D48" s="270" t="str">
        <f t="shared" si="4"/>
        <v/>
      </c>
      <c r="E48" s="270" t="str">
        <f t="shared" si="5"/>
        <v/>
      </c>
      <c r="F48" s="270" t="str">
        <f t="shared" si="6"/>
        <v/>
      </c>
      <c r="G48" s="271" t="str">
        <f t="shared" ref="G48:G79" si="7">IF(OR(G47=0,G47=""),"",ROUND(C48-F48,2))</f>
        <v/>
      </c>
      <c r="H48" s="22"/>
      <c r="I48" s="22"/>
      <c r="J48" s="22"/>
      <c r="K48" s="22"/>
    </row>
    <row r="49" spans="1:11" ht="12" customHeight="1" x14ac:dyDescent="0.45">
      <c r="A49" s="269" t="str">
        <f t="shared" ref="A49:A80" si="8">IF(OR(G48=0,G48=""),"",(1+A48))</f>
        <v/>
      </c>
      <c r="B49" s="272" t="str">
        <f t="shared" ref="B49:B80" si="9">IF(OR(G48=0,G48=""),"",(365/$B$7+B48))</f>
        <v/>
      </c>
      <c r="C49" s="270" t="str">
        <f t="shared" ref="C49:C80" si="10">IF(OR(G48=0,G48=""),"",ROUND(G48,2))</f>
        <v/>
      </c>
      <c r="D49" s="270" t="str">
        <f t="shared" ref="D49:D80" si="11">IF(OR(G48=0,G48=""),"",ROUND(IF(C49+E49&lt;$D$5,C49+E49,$D$5),2))</f>
        <v/>
      </c>
      <c r="E49" s="270" t="str">
        <f t="shared" ref="E49:E80" si="12">IF(OR(G48=0,G48=""),"",ROUND(((1+($B$5/($B$8*100)))^($B$8/$B$7)-1)*C49,2))</f>
        <v/>
      </c>
      <c r="F49" s="270" t="str">
        <f t="shared" ref="F49:F80" si="13">IF(OR(G48=0,G48=""),"",D49-E49)</f>
        <v/>
      </c>
      <c r="G49" s="271" t="str">
        <f t="shared" si="7"/>
        <v/>
      </c>
      <c r="H49" s="22"/>
      <c r="I49" s="22"/>
      <c r="J49" s="22"/>
      <c r="K49" s="22"/>
    </row>
    <row r="50" spans="1:11" ht="12" customHeight="1" x14ac:dyDescent="0.45">
      <c r="A50" s="269" t="str">
        <f t="shared" si="8"/>
        <v/>
      </c>
      <c r="B50" s="272" t="str">
        <f t="shared" si="9"/>
        <v/>
      </c>
      <c r="C50" s="270" t="str">
        <f t="shared" si="10"/>
        <v/>
      </c>
      <c r="D50" s="270" t="str">
        <f t="shared" si="11"/>
        <v/>
      </c>
      <c r="E50" s="270" t="str">
        <f t="shared" si="12"/>
        <v/>
      </c>
      <c r="F50" s="270" t="str">
        <f t="shared" si="13"/>
        <v/>
      </c>
      <c r="G50" s="271" t="str">
        <f t="shared" si="7"/>
        <v/>
      </c>
      <c r="H50" s="22"/>
      <c r="I50" s="22"/>
      <c r="J50" s="22"/>
      <c r="K50" s="22"/>
    </row>
    <row r="51" spans="1:11" ht="12" customHeight="1" x14ac:dyDescent="0.45">
      <c r="A51" s="269" t="str">
        <f t="shared" si="8"/>
        <v/>
      </c>
      <c r="B51" s="272" t="str">
        <f t="shared" si="9"/>
        <v/>
      </c>
      <c r="C51" s="270" t="str">
        <f t="shared" si="10"/>
        <v/>
      </c>
      <c r="D51" s="270" t="str">
        <f t="shared" si="11"/>
        <v/>
      </c>
      <c r="E51" s="270" t="str">
        <f t="shared" si="12"/>
        <v/>
      </c>
      <c r="F51" s="270" t="str">
        <f t="shared" si="13"/>
        <v/>
      </c>
      <c r="G51" s="271" t="str">
        <f t="shared" si="7"/>
        <v/>
      </c>
      <c r="H51" s="22"/>
      <c r="I51" s="22"/>
      <c r="J51" s="22"/>
      <c r="K51" s="22"/>
    </row>
    <row r="52" spans="1:11" ht="12" customHeight="1" x14ac:dyDescent="0.45">
      <c r="A52" s="269" t="str">
        <f t="shared" si="8"/>
        <v/>
      </c>
      <c r="B52" s="272" t="str">
        <f t="shared" si="9"/>
        <v/>
      </c>
      <c r="C52" s="270" t="str">
        <f t="shared" si="10"/>
        <v/>
      </c>
      <c r="D52" s="270" t="str">
        <f t="shared" si="11"/>
        <v/>
      </c>
      <c r="E52" s="270" t="str">
        <f t="shared" si="12"/>
        <v/>
      </c>
      <c r="F52" s="270" t="str">
        <f t="shared" si="13"/>
        <v/>
      </c>
      <c r="G52" s="271" t="str">
        <f t="shared" si="7"/>
        <v/>
      </c>
      <c r="H52" s="22"/>
      <c r="I52" s="22"/>
      <c r="J52" s="22"/>
      <c r="K52" s="22"/>
    </row>
    <row r="53" spans="1:11" ht="12" customHeight="1" x14ac:dyDescent="0.45">
      <c r="A53" s="269" t="str">
        <f t="shared" si="8"/>
        <v/>
      </c>
      <c r="B53" s="272" t="str">
        <f t="shared" si="9"/>
        <v/>
      </c>
      <c r="C53" s="270" t="str">
        <f t="shared" si="10"/>
        <v/>
      </c>
      <c r="D53" s="270" t="str">
        <f t="shared" si="11"/>
        <v/>
      </c>
      <c r="E53" s="270" t="str">
        <f t="shared" si="12"/>
        <v/>
      </c>
      <c r="F53" s="270" t="str">
        <f t="shared" si="13"/>
        <v/>
      </c>
      <c r="G53" s="271" t="str">
        <f t="shared" si="7"/>
        <v/>
      </c>
      <c r="H53" s="22"/>
      <c r="I53" s="22"/>
      <c r="J53" s="22"/>
      <c r="K53" s="22"/>
    </row>
    <row r="54" spans="1:11" ht="12" customHeight="1" x14ac:dyDescent="0.45">
      <c r="A54" s="269" t="str">
        <f t="shared" si="8"/>
        <v/>
      </c>
      <c r="B54" s="272" t="str">
        <f t="shared" si="9"/>
        <v/>
      </c>
      <c r="C54" s="270" t="str">
        <f t="shared" si="10"/>
        <v/>
      </c>
      <c r="D54" s="270" t="str">
        <f t="shared" si="11"/>
        <v/>
      </c>
      <c r="E54" s="270" t="str">
        <f t="shared" si="12"/>
        <v/>
      </c>
      <c r="F54" s="270" t="str">
        <f t="shared" si="13"/>
        <v/>
      </c>
      <c r="G54" s="271" t="str">
        <f t="shared" si="7"/>
        <v/>
      </c>
      <c r="H54" s="22"/>
      <c r="I54" s="22"/>
      <c r="J54" s="22"/>
      <c r="K54" s="22"/>
    </row>
    <row r="55" spans="1:11" ht="12" customHeight="1" x14ac:dyDescent="0.45">
      <c r="A55" s="269" t="str">
        <f t="shared" si="8"/>
        <v/>
      </c>
      <c r="B55" s="272" t="str">
        <f t="shared" si="9"/>
        <v/>
      </c>
      <c r="C55" s="270" t="str">
        <f t="shared" si="10"/>
        <v/>
      </c>
      <c r="D55" s="270" t="str">
        <f t="shared" si="11"/>
        <v/>
      </c>
      <c r="E55" s="270" t="str">
        <f t="shared" si="12"/>
        <v/>
      </c>
      <c r="F55" s="270" t="str">
        <f t="shared" si="13"/>
        <v/>
      </c>
      <c r="G55" s="271" t="str">
        <f t="shared" si="7"/>
        <v/>
      </c>
      <c r="H55" s="22"/>
      <c r="I55" s="22"/>
      <c r="J55" s="22"/>
      <c r="K55" s="22"/>
    </row>
    <row r="56" spans="1:11" ht="12" customHeight="1" x14ac:dyDescent="0.45">
      <c r="A56" s="269" t="str">
        <f t="shared" si="8"/>
        <v/>
      </c>
      <c r="B56" s="272" t="str">
        <f t="shared" si="9"/>
        <v/>
      </c>
      <c r="C56" s="270" t="str">
        <f t="shared" si="10"/>
        <v/>
      </c>
      <c r="D56" s="270" t="str">
        <f t="shared" si="11"/>
        <v/>
      </c>
      <c r="E56" s="270" t="str">
        <f t="shared" si="12"/>
        <v/>
      </c>
      <c r="F56" s="270" t="str">
        <f t="shared" si="13"/>
        <v/>
      </c>
      <c r="G56" s="271" t="str">
        <f t="shared" si="7"/>
        <v/>
      </c>
      <c r="H56" s="22"/>
      <c r="I56" s="22"/>
      <c r="J56" s="22"/>
      <c r="K56" s="22"/>
    </row>
    <row r="57" spans="1:11" ht="12" customHeight="1" x14ac:dyDescent="0.45">
      <c r="A57" s="269" t="str">
        <f t="shared" si="8"/>
        <v/>
      </c>
      <c r="B57" s="272" t="str">
        <f t="shared" si="9"/>
        <v/>
      </c>
      <c r="C57" s="270" t="str">
        <f t="shared" si="10"/>
        <v/>
      </c>
      <c r="D57" s="270" t="str">
        <f t="shared" si="11"/>
        <v/>
      </c>
      <c r="E57" s="270" t="str">
        <f t="shared" si="12"/>
        <v/>
      </c>
      <c r="F57" s="270" t="str">
        <f t="shared" si="13"/>
        <v/>
      </c>
      <c r="G57" s="271" t="str">
        <f t="shared" si="7"/>
        <v/>
      </c>
      <c r="H57" s="22"/>
      <c r="I57" s="22"/>
      <c r="J57" s="22"/>
      <c r="K57" s="22"/>
    </row>
    <row r="58" spans="1:11" ht="12" customHeight="1" x14ac:dyDescent="0.45">
      <c r="A58" s="269" t="str">
        <f t="shared" si="8"/>
        <v/>
      </c>
      <c r="B58" s="272" t="str">
        <f t="shared" si="9"/>
        <v/>
      </c>
      <c r="C58" s="270" t="str">
        <f t="shared" si="10"/>
        <v/>
      </c>
      <c r="D58" s="270" t="str">
        <f t="shared" si="11"/>
        <v/>
      </c>
      <c r="E58" s="270" t="str">
        <f t="shared" si="12"/>
        <v/>
      </c>
      <c r="F58" s="270" t="str">
        <f t="shared" si="13"/>
        <v/>
      </c>
      <c r="G58" s="271" t="str">
        <f t="shared" si="7"/>
        <v/>
      </c>
      <c r="H58" s="22"/>
      <c r="I58" s="22"/>
      <c r="J58" s="22"/>
      <c r="K58" s="22"/>
    </row>
    <row r="59" spans="1:11" ht="12" customHeight="1" x14ac:dyDescent="0.45">
      <c r="A59" s="269" t="str">
        <f t="shared" si="8"/>
        <v/>
      </c>
      <c r="B59" s="272" t="str">
        <f t="shared" si="9"/>
        <v/>
      </c>
      <c r="C59" s="270" t="str">
        <f t="shared" si="10"/>
        <v/>
      </c>
      <c r="D59" s="270" t="str">
        <f t="shared" si="11"/>
        <v/>
      </c>
      <c r="E59" s="270" t="str">
        <f t="shared" si="12"/>
        <v/>
      </c>
      <c r="F59" s="270" t="str">
        <f t="shared" si="13"/>
        <v/>
      </c>
      <c r="G59" s="271" t="str">
        <f t="shared" si="7"/>
        <v/>
      </c>
      <c r="H59" s="22"/>
      <c r="I59" s="22"/>
      <c r="J59" s="22"/>
      <c r="K59" s="22"/>
    </row>
    <row r="60" spans="1:11" ht="12" customHeight="1" x14ac:dyDescent="0.45">
      <c r="A60" s="269" t="str">
        <f t="shared" si="8"/>
        <v/>
      </c>
      <c r="B60" s="272" t="str">
        <f t="shared" si="9"/>
        <v/>
      </c>
      <c r="C60" s="270" t="str">
        <f t="shared" si="10"/>
        <v/>
      </c>
      <c r="D60" s="270" t="str">
        <f t="shared" si="11"/>
        <v/>
      </c>
      <c r="E60" s="270" t="str">
        <f t="shared" si="12"/>
        <v/>
      </c>
      <c r="F60" s="270" t="str">
        <f t="shared" si="13"/>
        <v/>
      </c>
      <c r="G60" s="271" t="str">
        <f t="shared" si="7"/>
        <v/>
      </c>
      <c r="H60" s="22"/>
      <c r="I60" s="22"/>
      <c r="J60" s="22"/>
      <c r="K60" s="22"/>
    </row>
    <row r="61" spans="1:11" ht="12" customHeight="1" x14ac:dyDescent="0.45">
      <c r="A61" s="269" t="str">
        <f t="shared" si="8"/>
        <v/>
      </c>
      <c r="B61" s="272" t="str">
        <f t="shared" si="9"/>
        <v/>
      </c>
      <c r="C61" s="270" t="str">
        <f t="shared" si="10"/>
        <v/>
      </c>
      <c r="D61" s="270" t="str">
        <f t="shared" si="11"/>
        <v/>
      </c>
      <c r="E61" s="270" t="str">
        <f t="shared" si="12"/>
        <v/>
      </c>
      <c r="F61" s="270" t="str">
        <f t="shared" si="13"/>
        <v/>
      </c>
      <c r="G61" s="271" t="str">
        <f t="shared" si="7"/>
        <v/>
      </c>
      <c r="H61" s="22"/>
      <c r="I61" s="22"/>
      <c r="J61" s="22"/>
      <c r="K61" s="22"/>
    </row>
    <row r="62" spans="1:11" ht="12" customHeight="1" x14ac:dyDescent="0.45">
      <c r="A62" s="269" t="str">
        <f t="shared" si="8"/>
        <v/>
      </c>
      <c r="B62" s="272" t="str">
        <f t="shared" si="9"/>
        <v/>
      </c>
      <c r="C62" s="270" t="str">
        <f t="shared" si="10"/>
        <v/>
      </c>
      <c r="D62" s="270" t="str">
        <f t="shared" si="11"/>
        <v/>
      </c>
      <c r="E62" s="270" t="str">
        <f t="shared" si="12"/>
        <v/>
      </c>
      <c r="F62" s="270" t="str">
        <f t="shared" si="13"/>
        <v/>
      </c>
      <c r="G62" s="271" t="str">
        <f t="shared" si="7"/>
        <v/>
      </c>
      <c r="H62" s="22"/>
      <c r="I62" s="22"/>
      <c r="J62" s="22"/>
      <c r="K62" s="22"/>
    </row>
    <row r="63" spans="1:11" ht="12" customHeight="1" x14ac:dyDescent="0.45">
      <c r="A63" s="269" t="str">
        <f t="shared" si="8"/>
        <v/>
      </c>
      <c r="B63" s="272" t="str">
        <f t="shared" si="9"/>
        <v/>
      </c>
      <c r="C63" s="270" t="str">
        <f t="shared" si="10"/>
        <v/>
      </c>
      <c r="D63" s="270" t="str">
        <f t="shared" si="11"/>
        <v/>
      </c>
      <c r="E63" s="270" t="str">
        <f t="shared" si="12"/>
        <v/>
      </c>
      <c r="F63" s="270" t="str">
        <f t="shared" si="13"/>
        <v/>
      </c>
      <c r="G63" s="271" t="str">
        <f t="shared" si="7"/>
        <v/>
      </c>
      <c r="H63" s="22"/>
      <c r="I63" s="22"/>
      <c r="J63" s="22"/>
      <c r="K63" s="22"/>
    </row>
    <row r="64" spans="1:11" ht="12" customHeight="1" x14ac:dyDescent="0.45">
      <c r="A64" s="269" t="str">
        <f t="shared" si="8"/>
        <v/>
      </c>
      <c r="B64" s="272" t="str">
        <f t="shared" si="9"/>
        <v/>
      </c>
      <c r="C64" s="270" t="str">
        <f t="shared" si="10"/>
        <v/>
      </c>
      <c r="D64" s="270" t="str">
        <f t="shared" si="11"/>
        <v/>
      </c>
      <c r="E64" s="270" t="str">
        <f t="shared" si="12"/>
        <v/>
      </c>
      <c r="F64" s="270" t="str">
        <f t="shared" si="13"/>
        <v/>
      </c>
      <c r="G64" s="271" t="str">
        <f t="shared" si="7"/>
        <v/>
      </c>
      <c r="H64" s="22"/>
      <c r="I64" s="22"/>
      <c r="J64" s="22"/>
      <c r="K64" s="22"/>
    </row>
    <row r="65" spans="1:11" ht="12" customHeight="1" x14ac:dyDescent="0.45">
      <c r="A65" s="269" t="str">
        <f t="shared" si="8"/>
        <v/>
      </c>
      <c r="B65" s="272" t="str">
        <f t="shared" si="9"/>
        <v/>
      </c>
      <c r="C65" s="270" t="str">
        <f t="shared" si="10"/>
        <v/>
      </c>
      <c r="D65" s="270" t="str">
        <f t="shared" si="11"/>
        <v/>
      </c>
      <c r="E65" s="270" t="str">
        <f t="shared" si="12"/>
        <v/>
      </c>
      <c r="F65" s="270" t="str">
        <f t="shared" si="13"/>
        <v/>
      </c>
      <c r="G65" s="271" t="str">
        <f t="shared" si="7"/>
        <v/>
      </c>
      <c r="H65" s="22"/>
      <c r="I65" s="22"/>
      <c r="J65" s="22"/>
      <c r="K65" s="22"/>
    </row>
    <row r="66" spans="1:11" ht="12" customHeight="1" x14ac:dyDescent="0.45">
      <c r="A66" s="273" t="str">
        <f t="shared" si="8"/>
        <v/>
      </c>
      <c r="B66" s="274" t="str">
        <f t="shared" si="9"/>
        <v/>
      </c>
      <c r="C66" s="275" t="str">
        <f t="shared" si="10"/>
        <v/>
      </c>
      <c r="D66" s="275" t="str">
        <f t="shared" si="11"/>
        <v/>
      </c>
      <c r="E66" s="275" t="str">
        <f t="shared" si="12"/>
        <v/>
      </c>
      <c r="F66" s="275" t="str">
        <f t="shared" si="13"/>
        <v/>
      </c>
      <c r="G66" s="276" t="str">
        <f t="shared" si="7"/>
        <v/>
      </c>
      <c r="H66" s="22"/>
      <c r="I66" s="22"/>
      <c r="J66" s="22"/>
      <c r="K66" s="22"/>
    </row>
    <row r="67" spans="1:11" ht="12" customHeight="1" x14ac:dyDescent="0.45">
      <c r="A67" s="262" t="str">
        <f t="shared" si="8"/>
        <v/>
      </c>
      <c r="B67" s="272" t="str">
        <f t="shared" si="9"/>
        <v/>
      </c>
      <c r="C67" s="264" t="str">
        <f t="shared" si="10"/>
        <v/>
      </c>
      <c r="D67" s="264" t="str">
        <f t="shared" si="11"/>
        <v/>
      </c>
      <c r="E67" s="264" t="str">
        <f t="shared" si="12"/>
        <v/>
      </c>
      <c r="F67" s="264" t="str">
        <f t="shared" si="13"/>
        <v/>
      </c>
      <c r="G67" s="264" t="str">
        <f t="shared" si="7"/>
        <v/>
      </c>
      <c r="H67" s="22"/>
      <c r="I67" s="22"/>
      <c r="J67" s="22"/>
      <c r="K67" s="22"/>
    </row>
    <row r="68" spans="1:11" ht="12" customHeight="1" x14ac:dyDescent="0.45">
      <c r="A68" s="262" t="str">
        <f t="shared" si="8"/>
        <v/>
      </c>
      <c r="B68" s="272" t="str">
        <f t="shared" si="9"/>
        <v/>
      </c>
      <c r="C68" s="264" t="str">
        <f t="shared" si="10"/>
        <v/>
      </c>
      <c r="D68" s="264" t="str">
        <f t="shared" si="11"/>
        <v/>
      </c>
      <c r="E68" s="264" t="str">
        <f t="shared" si="12"/>
        <v/>
      </c>
      <c r="F68" s="264" t="str">
        <f t="shared" si="13"/>
        <v/>
      </c>
      <c r="G68" s="264" t="str">
        <f t="shared" si="7"/>
        <v/>
      </c>
      <c r="H68" s="22"/>
      <c r="I68" s="22"/>
      <c r="J68" s="22"/>
      <c r="K68" s="22"/>
    </row>
    <row r="69" spans="1:11" ht="12" customHeight="1" x14ac:dyDescent="0.45">
      <c r="A69" s="262" t="str">
        <f t="shared" si="8"/>
        <v/>
      </c>
      <c r="B69" s="272" t="str">
        <f t="shared" si="9"/>
        <v/>
      </c>
      <c r="C69" s="264" t="str">
        <f t="shared" si="10"/>
        <v/>
      </c>
      <c r="D69" s="264" t="str">
        <f t="shared" si="11"/>
        <v/>
      </c>
      <c r="E69" s="264" t="str">
        <f t="shared" si="12"/>
        <v/>
      </c>
      <c r="F69" s="264" t="str">
        <f t="shared" si="13"/>
        <v/>
      </c>
      <c r="G69" s="264" t="str">
        <f t="shared" si="7"/>
        <v/>
      </c>
      <c r="H69" s="22"/>
      <c r="I69" s="22"/>
      <c r="J69" s="22"/>
      <c r="K69" s="22"/>
    </row>
    <row r="70" spans="1:11" ht="12" customHeight="1" x14ac:dyDescent="0.45">
      <c r="A70" s="262" t="str">
        <f t="shared" si="8"/>
        <v/>
      </c>
      <c r="B70" s="272" t="str">
        <f t="shared" si="9"/>
        <v/>
      </c>
      <c r="C70" s="264" t="str">
        <f t="shared" si="10"/>
        <v/>
      </c>
      <c r="D70" s="264" t="str">
        <f t="shared" si="11"/>
        <v/>
      </c>
      <c r="E70" s="264" t="str">
        <f t="shared" si="12"/>
        <v/>
      </c>
      <c r="F70" s="264" t="str">
        <f t="shared" si="13"/>
        <v/>
      </c>
      <c r="G70" s="264" t="str">
        <f t="shared" si="7"/>
        <v/>
      </c>
      <c r="H70" s="22"/>
      <c r="I70" s="22"/>
      <c r="J70" s="22"/>
      <c r="K70" s="22"/>
    </row>
    <row r="71" spans="1:11" ht="12" customHeight="1" x14ac:dyDescent="0.45">
      <c r="A71" s="262" t="str">
        <f t="shared" si="8"/>
        <v/>
      </c>
      <c r="B71" s="272" t="str">
        <f t="shared" si="9"/>
        <v/>
      </c>
      <c r="C71" s="264" t="str">
        <f t="shared" si="10"/>
        <v/>
      </c>
      <c r="D71" s="264" t="str">
        <f t="shared" si="11"/>
        <v/>
      </c>
      <c r="E71" s="264" t="str">
        <f t="shared" si="12"/>
        <v/>
      </c>
      <c r="F71" s="264" t="str">
        <f t="shared" si="13"/>
        <v/>
      </c>
      <c r="G71" s="264" t="str">
        <f t="shared" si="7"/>
        <v/>
      </c>
      <c r="H71" s="22"/>
      <c r="I71" s="22"/>
      <c r="J71" s="22"/>
      <c r="K71" s="22"/>
    </row>
    <row r="72" spans="1:11" ht="12" customHeight="1" x14ac:dyDescent="0.45">
      <c r="A72" s="262" t="str">
        <f t="shared" si="8"/>
        <v/>
      </c>
      <c r="B72" s="272" t="str">
        <f t="shared" si="9"/>
        <v/>
      </c>
      <c r="C72" s="264" t="str">
        <f t="shared" si="10"/>
        <v/>
      </c>
      <c r="D72" s="264" t="str">
        <f t="shared" si="11"/>
        <v/>
      </c>
      <c r="E72" s="264" t="str">
        <f t="shared" si="12"/>
        <v/>
      </c>
      <c r="F72" s="264" t="str">
        <f t="shared" si="13"/>
        <v/>
      </c>
      <c r="G72" s="264" t="str">
        <f t="shared" si="7"/>
        <v/>
      </c>
      <c r="H72" s="22"/>
      <c r="I72" s="22"/>
      <c r="J72" s="22"/>
      <c r="K72" s="22"/>
    </row>
    <row r="73" spans="1:11" ht="12" customHeight="1" x14ac:dyDescent="0.45">
      <c r="A73" s="262" t="str">
        <f t="shared" si="8"/>
        <v/>
      </c>
      <c r="B73" s="272" t="str">
        <f t="shared" si="9"/>
        <v/>
      </c>
      <c r="C73" s="264" t="str">
        <f t="shared" si="10"/>
        <v/>
      </c>
      <c r="D73" s="264" t="str">
        <f t="shared" si="11"/>
        <v/>
      </c>
      <c r="E73" s="264" t="str">
        <f t="shared" si="12"/>
        <v/>
      </c>
      <c r="F73" s="264" t="str">
        <f t="shared" si="13"/>
        <v/>
      </c>
      <c r="G73" s="264" t="str">
        <f t="shared" si="7"/>
        <v/>
      </c>
      <c r="H73" s="22"/>
      <c r="I73" s="22"/>
      <c r="J73" s="22"/>
      <c r="K73" s="22"/>
    </row>
    <row r="74" spans="1:11" ht="12" customHeight="1" x14ac:dyDescent="0.45">
      <c r="A74" s="262" t="str">
        <f t="shared" si="8"/>
        <v/>
      </c>
      <c r="B74" s="272" t="str">
        <f t="shared" si="9"/>
        <v/>
      </c>
      <c r="C74" s="264" t="str">
        <f t="shared" si="10"/>
        <v/>
      </c>
      <c r="D74" s="264" t="str">
        <f t="shared" si="11"/>
        <v/>
      </c>
      <c r="E74" s="264" t="str">
        <f t="shared" si="12"/>
        <v/>
      </c>
      <c r="F74" s="264" t="str">
        <f t="shared" si="13"/>
        <v/>
      </c>
      <c r="G74" s="264" t="str">
        <f t="shared" si="7"/>
        <v/>
      </c>
      <c r="H74" s="22"/>
      <c r="I74" s="22"/>
      <c r="J74" s="22"/>
      <c r="K74" s="22"/>
    </row>
    <row r="75" spans="1:11" ht="12" customHeight="1" x14ac:dyDescent="0.45">
      <c r="A75" s="262" t="str">
        <f t="shared" si="8"/>
        <v/>
      </c>
      <c r="B75" s="272" t="str">
        <f t="shared" si="9"/>
        <v/>
      </c>
      <c r="C75" s="264" t="str">
        <f t="shared" si="10"/>
        <v/>
      </c>
      <c r="D75" s="264" t="str">
        <f t="shared" si="11"/>
        <v/>
      </c>
      <c r="E75" s="264" t="str">
        <f t="shared" si="12"/>
        <v/>
      </c>
      <c r="F75" s="264" t="str">
        <f t="shared" si="13"/>
        <v/>
      </c>
      <c r="G75" s="264" t="str">
        <f t="shared" si="7"/>
        <v/>
      </c>
      <c r="H75" s="22"/>
      <c r="I75" s="22"/>
      <c r="J75" s="22"/>
      <c r="K75" s="22"/>
    </row>
    <row r="76" spans="1:11" ht="12" customHeight="1" x14ac:dyDescent="0.45">
      <c r="A76" s="262" t="str">
        <f t="shared" si="8"/>
        <v/>
      </c>
      <c r="B76" s="272" t="str">
        <f t="shared" si="9"/>
        <v/>
      </c>
      <c r="C76" s="264" t="str">
        <f t="shared" si="10"/>
        <v/>
      </c>
      <c r="D76" s="264" t="str">
        <f t="shared" si="11"/>
        <v/>
      </c>
      <c r="E76" s="264" t="str">
        <f t="shared" si="12"/>
        <v/>
      </c>
      <c r="F76" s="264" t="str">
        <f t="shared" si="13"/>
        <v/>
      </c>
      <c r="G76" s="264" t="str">
        <f t="shared" si="7"/>
        <v/>
      </c>
      <c r="H76" s="22"/>
      <c r="I76" s="22"/>
      <c r="J76" s="22"/>
      <c r="K76" s="22"/>
    </row>
    <row r="77" spans="1:11" ht="12" customHeight="1" x14ac:dyDescent="0.45">
      <c r="A77" s="262" t="str">
        <f t="shared" si="8"/>
        <v/>
      </c>
      <c r="B77" s="272" t="str">
        <f t="shared" si="9"/>
        <v/>
      </c>
      <c r="C77" s="264" t="str">
        <f t="shared" si="10"/>
        <v/>
      </c>
      <c r="D77" s="264" t="str">
        <f t="shared" si="11"/>
        <v/>
      </c>
      <c r="E77" s="264" t="str">
        <f t="shared" si="12"/>
        <v/>
      </c>
      <c r="F77" s="264" t="str">
        <f t="shared" si="13"/>
        <v/>
      </c>
      <c r="G77" s="264" t="str">
        <f t="shared" si="7"/>
        <v/>
      </c>
      <c r="H77" s="22"/>
      <c r="I77" s="22"/>
      <c r="J77" s="22"/>
      <c r="K77" s="22"/>
    </row>
    <row r="78" spans="1:11" ht="12" customHeight="1" x14ac:dyDescent="0.45">
      <c r="A78" s="262" t="str">
        <f t="shared" si="8"/>
        <v/>
      </c>
      <c r="B78" s="272" t="str">
        <f t="shared" si="9"/>
        <v/>
      </c>
      <c r="C78" s="264" t="str">
        <f t="shared" si="10"/>
        <v/>
      </c>
      <c r="D78" s="264" t="str">
        <f t="shared" si="11"/>
        <v/>
      </c>
      <c r="E78" s="264" t="str">
        <f t="shared" si="12"/>
        <v/>
      </c>
      <c r="F78" s="264" t="str">
        <f t="shared" si="13"/>
        <v/>
      </c>
      <c r="G78" s="264" t="str">
        <f t="shared" si="7"/>
        <v/>
      </c>
      <c r="H78" s="22"/>
      <c r="I78" s="22"/>
      <c r="J78" s="22"/>
      <c r="K78" s="22"/>
    </row>
    <row r="79" spans="1:11" ht="12" customHeight="1" x14ac:dyDescent="0.45">
      <c r="A79" s="262" t="str">
        <f t="shared" si="8"/>
        <v/>
      </c>
      <c r="B79" s="272" t="str">
        <f t="shared" si="9"/>
        <v/>
      </c>
      <c r="C79" s="264" t="str">
        <f t="shared" si="10"/>
        <v/>
      </c>
      <c r="D79" s="264" t="str">
        <f t="shared" si="11"/>
        <v/>
      </c>
      <c r="E79" s="264" t="str">
        <f t="shared" si="12"/>
        <v/>
      </c>
      <c r="F79" s="264" t="str">
        <f t="shared" si="13"/>
        <v/>
      </c>
      <c r="G79" s="264" t="str">
        <f t="shared" si="7"/>
        <v/>
      </c>
      <c r="H79" s="22"/>
      <c r="I79" s="22"/>
      <c r="J79" s="22"/>
      <c r="K79" s="22"/>
    </row>
    <row r="80" spans="1:11" ht="12" customHeight="1" x14ac:dyDescent="0.45">
      <c r="A80" s="262" t="str">
        <f t="shared" si="8"/>
        <v/>
      </c>
      <c r="B80" s="272" t="str">
        <f t="shared" si="9"/>
        <v/>
      </c>
      <c r="C80" s="264" t="str">
        <f t="shared" si="10"/>
        <v/>
      </c>
      <c r="D80" s="264" t="str">
        <f t="shared" si="11"/>
        <v/>
      </c>
      <c r="E80" s="264" t="str">
        <f t="shared" si="12"/>
        <v/>
      </c>
      <c r="F80" s="264" t="str">
        <f t="shared" si="13"/>
        <v/>
      </c>
      <c r="G80" s="264" t="str">
        <f t="shared" ref="G80:G111" si="14">IF(OR(G79=0,G79=""),"",ROUND(C80-F80,2))</f>
        <v/>
      </c>
      <c r="H80" s="22"/>
      <c r="I80" s="22"/>
      <c r="J80" s="22"/>
      <c r="K80" s="22"/>
    </row>
    <row r="81" spans="1:11" ht="12" customHeight="1" x14ac:dyDescent="0.45">
      <c r="A81" s="262" t="str">
        <f t="shared" ref="A81:A112" si="15">IF(OR(G80=0,G80=""),"",(1+A80))</f>
        <v/>
      </c>
      <c r="B81" s="272" t="str">
        <f t="shared" ref="B81:B112" si="16">IF(OR(G80=0,G80=""),"",(365/$B$7+B80))</f>
        <v/>
      </c>
      <c r="C81" s="264" t="str">
        <f t="shared" ref="C81:C112" si="17">IF(OR(G80=0,G80=""),"",ROUND(G80,2))</f>
        <v/>
      </c>
      <c r="D81" s="264" t="str">
        <f t="shared" ref="D81:D112" si="18">IF(OR(G80=0,G80=""),"",ROUND(IF(C81+E81&lt;$D$5,C81+E81,$D$5),2))</f>
        <v/>
      </c>
      <c r="E81" s="264" t="str">
        <f t="shared" ref="E81:E112" si="19">IF(OR(G80=0,G80=""),"",ROUND(((1+($B$5/($B$8*100)))^($B$8/$B$7)-1)*C81,2))</f>
        <v/>
      </c>
      <c r="F81" s="264" t="str">
        <f t="shared" ref="F81:F112" si="20">IF(OR(G80=0,G80=""),"",D81-E81)</f>
        <v/>
      </c>
      <c r="G81" s="264" t="str">
        <f t="shared" si="14"/>
        <v/>
      </c>
      <c r="H81" s="22"/>
      <c r="I81" s="22"/>
      <c r="J81" s="22"/>
      <c r="K81" s="22"/>
    </row>
    <row r="82" spans="1:11" ht="12" customHeight="1" x14ac:dyDescent="0.45">
      <c r="A82" s="262" t="str">
        <f t="shared" si="15"/>
        <v/>
      </c>
      <c r="B82" s="272" t="str">
        <f t="shared" si="16"/>
        <v/>
      </c>
      <c r="C82" s="264" t="str">
        <f t="shared" si="17"/>
        <v/>
      </c>
      <c r="D82" s="264" t="str">
        <f t="shared" si="18"/>
        <v/>
      </c>
      <c r="E82" s="264" t="str">
        <f t="shared" si="19"/>
        <v/>
      </c>
      <c r="F82" s="264" t="str">
        <f t="shared" si="20"/>
        <v/>
      </c>
      <c r="G82" s="264" t="str">
        <f t="shared" si="14"/>
        <v/>
      </c>
      <c r="H82" s="22"/>
      <c r="I82" s="22"/>
      <c r="J82" s="22"/>
      <c r="K82" s="22"/>
    </row>
    <row r="83" spans="1:11" ht="12" customHeight="1" x14ac:dyDescent="0.45">
      <c r="A83" s="262" t="str">
        <f t="shared" si="15"/>
        <v/>
      </c>
      <c r="B83" s="272" t="str">
        <f t="shared" si="16"/>
        <v/>
      </c>
      <c r="C83" s="264" t="str">
        <f t="shared" si="17"/>
        <v/>
      </c>
      <c r="D83" s="264" t="str">
        <f t="shared" si="18"/>
        <v/>
      </c>
      <c r="E83" s="264" t="str">
        <f t="shared" si="19"/>
        <v/>
      </c>
      <c r="F83" s="264" t="str">
        <f t="shared" si="20"/>
        <v/>
      </c>
      <c r="G83" s="264" t="str">
        <f t="shared" si="14"/>
        <v/>
      </c>
      <c r="H83" s="22"/>
      <c r="I83" s="22"/>
      <c r="J83" s="22"/>
      <c r="K83" s="22"/>
    </row>
    <row r="84" spans="1:11" ht="12" customHeight="1" x14ac:dyDescent="0.45">
      <c r="A84" s="262" t="str">
        <f t="shared" si="15"/>
        <v/>
      </c>
      <c r="B84" s="272" t="str">
        <f t="shared" si="16"/>
        <v/>
      </c>
      <c r="C84" s="264" t="str">
        <f t="shared" si="17"/>
        <v/>
      </c>
      <c r="D84" s="264" t="str">
        <f t="shared" si="18"/>
        <v/>
      </c>
      <c r="E84" s="264" t="str">
        <f t="shared" si="19"/>
        <v/>
      </c>
      <c r="F84" s="264" t="str">
        <f t="shared" si="20"/>
        <v/>
      </c>
      <c r="G84" s="264" t="str">
        <f t="shared" si="14"/>
        <v/>
      </c>
      <c r="H84" s="22"/>
      <c r="I84" s="22"/>
      <c r="J84" s="22"/>
      <c r="K84" s="22"/>
    </row>
    <row r="85" spans="1:11" ht="12" customHeight="1" x14ac:dyDescent="0.45">
      <c r="A85" s="262" t="str">
        <f t="shared" si="15"/>
        <v/>
      </c>
      <c r="B85" s="272" t="str">
        <f t="shared" si="16"/>
        <v/>
      </c>
      <c r="C85" s="264" t="str">
        <f t="shared" si="17"/>
        <v/>
      </c>
      <c r="D85" s="264" t="str">
        <f t="shared" si="18"/>
        <v/>
      </c>
      <c r="E85" s="264" t="str">
        <f t="shared" si="19"/>
        <v/>
      </c>
      <c r="F85" s="264" t="str">
        <f t="shared" si="20"/>
        <v/>
      </c>
      <c r="G85" s="264" t="str">
        <f t="shared" si="14"/>
        <v/>
      </c>
      <c r="H85" s="22"/>
      <c r="I85" s="22"/>
      <c r="J85" s="22"/>
      <c r="K85" s="22"/>
    </row>
    <row r="86" spans="1:11" ht="12" customHeight="1" x14ac:dyDescent="0.45">
      <c r="A86" s="262" t="str">
        <f t="shared" si="15"/>
        <v/>
      </c>
      <c r="B86" s="272" t="str">
        <f t="shared" si="16"/>
        <v/>
      </c>
      <c r="C86" s="264" t="str">
        <f t="shared" si="17"/>
        <v/>
      </c>
      <c r="D86" s="264" t="str">
        <f t="shared" si="18"/>
        <v/>
      </c>
      <c r="E86" s="264" t="str">
        <f t="shared" si="19"/>
        <v/>
      </c>
      <c r="F86" s="264" t="str">
        <f t="shared" si="20"/>
        <v/>
      </c>
      <c r="G86" s="264" t="str">
        <f t="shared" si="14"/>
        <v/>
      </c>
      <c r="H86" s="22"/>
      <c r="I86" s="22"/>
      <c r="J86" s="22"/>
      <c r="K86" s="22"/>
    </row>
    <row r="87" spans="1:11" ht="12" customHeight="1" x14ac:dyDescent="0.45">
      <c r="A87" s="262" t="str">
        <f t="shared" si="15"/>
        <v/>
      </c>
      <c r="B87" s="272" t="str">
        <f t="shared" si="16"/>
        <v/>
      </c>
      <c r="C87" s="264" t="str">
        <f t="shared" si="17"/>
        <v/>
      </c>
      <c r="D87" s="264" t="str">
        <f t="shared" si="18"/>
        <v/>
      </c>
      <c r="E87" s="264" t="str">
        <f t="shared" si="19"/>
        <v/>
      </c>
      <c r="F87" s="264" t="str">
        <f t="shared" si="20"/>
        <v/>
      </c>
      <c r="G87" s="264" t="str">
        <f t="shared" si="14"/>
        <v/>
      </c>
      <c r="H87" s="22"/>
      <c r="I87" s="22"/>
      <c r="J87" s="22"/>
      <c r="K87" s="22"/>
    </row>
    <row r="88" spans="1:11" ht="12" customHeight="1" x14ac:dyDescent="0.45">
      <c r="A88" s="262" t="str">
        <f t="shared" si="15"/>
        <v/>
      </c>
      <c r="B88" s="272" t="str">
        <f t="shared" si="16"/>
        <v/>
      </c>
      <c r="C88" s="264" t="str">
        <f t="shared" si="17"/>
        <v/>
      </c>
      <c r="D88" s="264" t="str">
        <f t="shared" si="18"/>
        <v/>
      </c>
      <c r="E88" s="264" t="str">
        <f t="shared" si="19"/>
        <v/>
      </c>
      <c r="F88" s="264" t="str">
        <f t="shared" si="20"/>
        <v/>
      </c>
      <c r="G88" s="264" t="str">
        <f t="shared" si="14"/>
        <v/>
      </c>
      <c r="H88" s="22"/>
      <c r="I88" s="22"/>
      <c r="J88" s="22"/>
      <c r="K88" s="22"/>
    </row>
    <row r="89" spans="1:11" ht="12" customHeight="1" x14ac:dyDescent="0.45">
      <c r="A89" s="262" t="str">
        <f t="shared" si="15"/>
        <v/>
      </c>
      <c r="B89" s="272" t="str">
        <f t="shared" si="16"/>
        <v/>
      </c>
      <c r="C89" s="264" t="str">
        <f t="shared" si="17"/>
        <v/>
      </c>
      <c r="D89" s="264" t="str">
        <f t="shared" si="18"/>
        <v/>
      </c>
      <c r="E89" s="264" t="str">
        <f t="shared" si="19"/>
        <v/>
      </c>
      <c r="F89" s="264" t="str">
        <f t="shared" si="20"/>
        <v/>
      </c>
      <c r="G89" s="264" t="str">
        <f t="shared" si="14"/>
        <v/>
      </c>
      <c r="H89" s="22"/>
      <c r="I89" s="22"/>
      <c r="J89" s="22"/>
      <c r="K89" s="22"/>
    </row>
    <row r="90" spans="1:11" ht="12" customHeight="1" x14ac:dyDescent="0.45">
      <c r="A90" s="262" t="str">
        <f t="shared" si="15"/>
        <v/>
      </c>
      <c r="B90" s="272" t="str">
        <f t="shared" si="16"/>
        <v/>
      </c>
      <c r="C90" s="264" t="str">
        <f t="shared" si="17"/>
        <v/>
      </c>
      <c r="D90" s="264" t="str">
        <f t="shared" si="18"/>
        <v/>
      </c>
      <c r="E90" s="264" t="str">
        <f t="shared" si="19"/>
        <v/>
      </c>
      <c r="F90" s="264" t="str">
        <f t="shared" si="20"/>
        <v/>
      </c>
      <c r="G90" s="264" t="str">
        <f t="shared" si="14"/>
        <v/>
      </c>
      <c r="H90" s="22"/>
      <c r="I90" s="22"/>
      <c r="J90" s="22"/>
      <c r="K90" s="22"/>
    </row>
    <row r="91" spans="1:11" ht="12" customHeight="1" x14ac:dyDescent="0.45">
      <c r="A91" s="262" t="str">
        <f t="shared" si="15"/>
        <v/>
      </c>
      <c r="B91" s="272" t="str">
        <f t="shared" si="16"/>
        <v/>
      </c>
      <c r="C91" s="264" t="str">
        <f t="shared" si="17"/>
        <v/>
      </c>
      <c r="D91" s="264" t="str">
        <f t="shared" si="18"/>
        <v/>
      </c>
      <c r="E91" s="264" t="str">
        <f t="shared" si="19"/>
        <v/>
      </c>
      <c r="F91" s="264" t="str">
        <f t="shared" si="20"/>
        <v/>
      </c>
      <c r="G91" s="264" t="str">
        <f t="shared" si="14"/>
        <v/>
      </c>
      <c r="H91" s="22"/>
      <c r="I91" s="22"/>
      <c r="J91" s="22"/>
      <c r="K91" s="22"/>
    </row>
    <row r="92" spans="1:11" ht="12" customHeight="1" x14ac:dyDescent="0.45">
      <c r="A92" s="262" t="str">
        <f t="shared" si="15"/>
        <v/>
      </c>
      <c r="B92" s="272" t="str">
        <f t="shared" si="16"/>
        <v/>
      </c>
      <c r="C92" s="264" t="str">
        <f t="shared" si="17"/>
        <v/>
      </c>
      <c r="D92" s="264" t="str">
        <f t="shared" si="18"/>
        <v/>
      </c>
      <c r="E92" s="264" t="str">
        <f t="shared" si="19"/>
        <v/>
      </c>
      <c r="F92" s="264" t="str">
        <f t="shared" si="20"/>
        <v/>
      </c>
      <c r="G92" s="264" t="str">
        <f t="shared" si="14"/>
        <v/>
      </c>
      <c r="H92" s="22"/>
      <c r="I92" s="22"/>
      <c r="J92" s="22"/>
      <c r="K92" s="22"/>
    </row>
    <row r="93" spans="1:11" ht="12" customHeight="1" x14ac:dyDescent="0.45">
      <c r="A93" s="262" t="str">
        <f t="shared" si="15"/>
        <v/>
      </c>
      <c r="B93" s="272" t="str">
        <f t="shared" si="16"/>
        <v/>
      </c>
      <c r="C93" s="264" t="str">
        <f t="shared" si="17"/>
        <v/>
      </c>
      <c r="D93" s="264" t="str">
        <f t="shared" si="18"/>
        <v/>
      </c>
      <c r="E93" s="264" t="str">
        <f t="shared" si="19"/>
        <v/>
      </c>
      <c r="F93" s="264" t="str">
        <f t="shared" si="20"/>
        <v/>
      </c>
      <c r="G93" s="264" t="str">
        <f t="shared" si="14"/>
        <v/>
      </c>
      <c r="H93" s="22"/>
      <c r="I93" s="22"/>
      <c r="J93" s="22"/>
      <c r="K93" s="22"/>
    </row>
    <row r="94" spans="1:11" ht="12" customHeight="1" x14ac:dyDescent="0.45">
      <c r="A94" s="262" t="str">
        <f t="shared" si="15"/>
        <v/>
      </c>
      <c r="B94" s="272" t="str">
        <f t="shared" si="16"/>
        <v/>
      </c>
      <c r="C94" s="264" t="str">
        <f t="shared" si="17"/>
        <v/>
      </c>
      <c r="D94" s="264" t="str">
        <f t="shared" si="18"/>
        <v/>
      </c>
      <c r="E94" s="264" t="str">
        <f t="shared" si="19"/>
        <v/>
      </c>
      <c r="F94" s="264" t="str">
        <f t="shared" si="20"/>
        <v/>
      </c>
      <c r="G94" s="264" t="str">
        <f t="shared" si="14"/>
        <v/>
      </c>
      <c r="H94" s="22"/>
      <c r="I94" s="22"/>
      <c r="J94" s="22"/>
      <c r="K94" s="22"/>
    </row>
    <row r="95" spans="1:11" ht="12" customHeight="1" x14ac:dyDescent="0.45">
      <c r="A95" s="262" t="str">
        <f t="shared" si="15"/>
        <v/>
      </c>
      <c r="B95" s="272" t="str">
        <f t="shared" si="16"/>
        <v/>
      </c>
      <c r="C95" s="264" t="str">
        <f t="shared" si="17"/>
        <v/>
      </c>
      <c r="D95" s="264" t="str">
        <f t="shared" si="18"/>
        <v/>
      </c>
      <c r="E95" s="264" t="str">
        <f t="shared" si="19"/>
        <v/>
      </c>
      <c r="F95" s="264" t="str">
        <f t="shared" si="20"/>
        <v/>
      </c>
      <c r="G95" s="264" t="str">
        <f t="shared" si="14"/>
        <v/>
      </c>
      <c r="H95" s="22"/>
      <c r="I95" s="22"/>
      <c r="J95" s="22"/>
      <c r="K95" s="22"/>
    </row>
    <row r="96" spans="1:11" ht="12" customHeight="1" x14ac:dyDescent="0.45">
      <c r="A96" s="262" t="str">
        <f t="shared" si="15"/>
        <v/>
      </c>
      <c r="B96" s="272" t="str">
        <f t="shared" si="16"/>
        <v/>
      </c>
      <c r="C96" s="264" t="str">
        <f t="shared" si="17"/>
        <v/>
      </c>
      <c r="D96" s="264" t="str">
        <f t="shared" si="18"/>
        <v/>
      </c>
      <c r="E96" s="264" t="str">
        <f t="shared" si="19"/>
        <v/>
      </c>
      <c r="F96" s="264" t="str">
        <f t="shared" si="20"/>
        <v/>
      </c>
      <c r="G96" s="264" t="str">
        <f t="shared" si="14"/>
        <v/>
      </c>
      <c r="H96" s="22"/>
      <c r="I96" s="22"/>
      <c r="J96" s="22"/>
      <c r="K96" s="22"/>
    </row>
    <row r="97" spans="1:11" ht="12" customHeight="1" x14ac:dyDescent="0.45">
      <c r="A97" s="262" t="str">
        <f t="shared" si="15"/>
        <v/>
      </c>
      <c r="B97" s="272" t="str">
        <f t="shared" si="16"/>
        <v/>
      </c>
      <c r="C97" s="264" t="str">
        <f t="shared" si="17"/>
        <v/>
      </c>
      <c r="D97" s="264" t="str">
        <f t="shared" si="18"/>
        <v/>
      </c>
      <c r="E97" s="264" t="str">
        <f t="shared" si="19"/>
        <v/>
      </c>
      <c r="F97" s="264" t="str">
        <f t="shared" si="20"/>
        <v/>
      </c>
      <c r="G97" s="264" t="str">
        <f t="shared" si="14"/>
        <v/>
      </c>
      <c r="H97" s="22"/>
      <c r="I97" s="22"/>
      <c r="J97" s="22"/>
      <c r="K97" s="22"/>
    </row>
    <row r="98" spans="1:11" ht="12" customHeight="1" x14ac:dyDescent="0.45">
      <c r="A98" s="262" t="str">
        <f t="shared" si="15"/>
        <v/>
      </c>
      <c r="B98" s="272" t="str">
        <f t="shared" si="16"/>
        <v/>
      </c>
      <c r="C98" s="264" t="str">
        <f t="shared" si="17"/>
        <v/>
      </c>
      <c r="D98" s="264" t="str">
        <f t="shared" si="18"/>
        <v/>
      </c>
      <c r="E98" s="264" t="str">
        <f t="shared" si="19"/>
        <v/>
      </c>
      <c r="F98" s="264" t="str">
        <f t="shared" si="20"/>
        <v/>
      </c>
      <c r="G98" s="264" t="str">
        <f t="shared" si="14"/>
        <v/>
      </c>
      <c r="H98" s="22"/>
      <c r="I98" s="22"/>
      <c r="J98" s="22"/>
      <c r="K98" s="22"/>
    </row>
    <row r="99" spans="1:11" ht="12" customHeight="1" x14ac:dyDescent="0.45">
      <c r="A99" s="262" t="str">
        <f t="shared" si="15"/>
        <v/>
      </c>
      <c r="B99" s="272" t="str">
        <f t="shared" si="16"/>
        <v/>
      </c>
      <c r="C99" s="264" t="str">
        <f t="shared" si="17"/>
        <v/>
      </c>
      <c r="D99" s="264" t="str">
        <f t="shared" si="18"/>
        <v/>
      </c>
      <c r="E99" s="264" t="str">
        <f t="shared" si="19"/>
        <v/>
      </c>
      <c r="F99" s="264" t="str">
        <f t="shared" si="20"/>
        <v/>
      </c>
      <c r="G99" s="264" t="str">
        <f t="shared" si="14"/>
        <v/>
      </c>
      <c r="H99" s="22"/>
      <c r="I99" s="22"/>
      <c r="J99" s="22"/>
      <c r="K99" s="22"/>
    </row>
    <row r="100" spans="1:11" ht="12" customHeight="1" x14ac:dyDescent="0.45">
      <c r="A100" s="262" t="str">
        <f t="shared" si="15"/>
        <v/>
      </c>
      <c r="B100" s="272" t="str">
        <f t="shared" si="16"/>
        <v/>
      </c>
      <c r="C100" s="264" t="str">
        <f t="shared" si="17"/>
        <v/>
      </c>
      <c r="D100" s="264" t="str">
        <f t="shared" si="18"/>
        <v/>
      </c>
      <c r="E100" s="264" t="str">
        <f t="shared" si="19"/>
        <v/>
      </c>
      <c r="F100" s="264" t="str">
        <f t="shared" si="20"/>
        <v/>
      </c>
      <c r="G100" s="264" t="str">
        <f t="shared" si="14"/>
        <v/>
      </c>
      <c r="H100" s="22"/>
      <c r="I100" s="22"/>
      <c r="J100" s="22"/>
      <c r="K100" s="22"/>
    </row>
    <row r="101" spans="1:11" ht="12" customHeight="1" x14ac:dyDescent="0.45">
      <c r="A101" s="262" t="str">
        <f t="shared" si="15"/>
        <v/>
      </c>
      <c r="B101" s="272" t="str">
        <f t="shared" si="16"/>
        <v/>
      </c>
      <c r="C101" s="264" t="str">
        <f t="shared" si="17"/>
        <v/>
      </c>
      <c r="D101" s="264" t="str">
        <f t="shared" si="18"/>
        <v/>
      </c>
      <c r="E101" s="264" t="str">
        <f t="shared" si="19"/>
        <v/>
      </c>
      <c r="F101" s="264" t="str">
        <f t="shared" si="20"/>
        <v/>
      </c>
      <c r="G101" s="264" t="str">
        <f t="shared" si="14"/>
        <v/>
      </c>
      <c r="H101" s="22"/>
      <c r="I101" s="22"/>
      <c r="J101" s="22"/>
      <c r="K101" s="22"/>
    </row>
    <row r="102" spans="1:11" ht="12" customHeight="1" x14ac:dyDescent="0.45">
      <c r="A102" s="262" t="str">
        <f t="shared" si="15"/>
        <v/>
      </c>
      <c r="B102" s="272" t="str">
        <f t="shared" si="16"/>
        <v/>
      </c>
      <c r="C102" s="264" t="str">
        <f t="shared" si="17"/>
        <v/>
      </c>
      <c r="D102" s="264" t="str">
        <f t="shared" si="18"/>
        <v/>
      </c>
      <c r="E102" s="264" t="str">
        <f t="shared" si="19"/>
        <v/>
      </c>
      <c r="F102" s="264" t="str">
        <f t="shared" si="20"/>
        <v/>
      </c>
      <c r="G102" s="264" t="str">
        <f t="shared" si="14"/>
        <v/>
      </c>
      <c r="H102" s="22"/>
      <c r="I102" s="22"/>
      <c r="J102" s="22"/>
      <c r="K102" s="22"/>
    </row>
    <row r="103" spans="1:11" ht="12" customHeight="1" x14ac:dyDescent="0.45">
      <c r="A103" s="262" t="str">
        <f t="shared" si="15"/>
        <v/>
      </c>
      <c r="B103" s="272" t="str">
        <f t="shared" si="16"/>
        <v/>
      </c>
      <c r="C103" s="264" t="str">
        <f t="shared" si="17"/>
        <v/>
      </c>
      <c r="D103" s="264" t="str">
        <f t="shared" si="18"/>
        <v/>
      </c>
      <c r="E103" s="264" t="str">
        <f t="shared" si="19"/>
        <v/>
      </c>
      <c r="F103" s="264" t="str">
        <f t="shared" si="20"/>
        <v/>
      </c>
      <c r="G103" s="264" t="str">
        <f t="shared" si="14"/>
        <v/>
      </c>
      <c r="H103" s="22"/>
      <c r="I103" s="22"/>
      <c r="J103" s="22"/>
      <c r="K103" s="22"/>
    </row>
    <row r="104" spans="1:11" ht="12" customHeight="1" x14ac:dyDescent="0.45">
      <c r="A104" s="262" t="str">
        <f t="shared" si="15"/>
        <v/>
      </c>
      <c r="B104" s="272" t="str">
        <f t="shared" si="16"/>
        <v/>
      </c>
      <c r="C104" s="264" t="str">
        <f t="shared" si="17"/>
        <v/>
      </c>
      <c r="D104" s="264" t="str">
        <f t="shared" si="18"/>
        <v/>
      </c>
      <c r="E104" s="264" t="str">
        <f t="shared" si="19"/>
        <v/>
      </c>
      <c r="F104" s="264" t="str">
        <f t="shared" si="20"/>
        <v/>
      </c>
      <c r="G104" s="264" t="str">
        <f t="shared" si="14"/>
        <v/>
      </c>
      <c r="H104" s="22"/>
      <c r="I104" s="22"/>
      <c r="J104" s="22"/>
      <c r="K104" s="22"/>
    </row>
    <row r="105" spans="1:11" ht="12" customHeight="1" x14ac:dyDescent="0.45">
      <c r="A105" s="262" t="str">
        <f t="shared" si="15"/>
        <v/>
      </c>
      <c r="B105" s="272" t="str">
        <f t="shared" si="16"/>
        <v/>
      </c>
      <c r="C105" s="264" t="str">
        <f t="shared" si="17"/>
        <v/>
      </c>
      <c r="D105" s="264" t="str">
        <f t="shared" si="18"/>
        <v/>
      </c>
      <c r="E105" s="264" t="str">
        <f t="shared" si="19"/>
        <v/>
      </c>
      <c r="F105" s="264" t="str">
        <f t="shared" si="20"/>
        <v/>
      </c>
      <c r="G105" s="264" t="str">
        <f t="shared" si="14"/>
        <v/>
      </c>
      <c r="H105" s="22"/>
      <c r="I105" s="22"/>
      <c r="J105" s="22"/>
      <c r="K105" s="22"/>
    </row>
    <row r="106" spans="1:11" ht="12" customHeight="1" x14ac:dyDescent="0.45">
      <c r="A106" s="262" t="str">
        <f t="shared" si="15"/>
        <v/>
      </c>
      <c r="B106" s="272" t="str">
        <f t="shared" si="16"/>
        <v/>
      </c>
      <c r="C106" s="264" t="str">
        <f t="shared" si="17"/>
        <v/>
      </c>
      <c r="D106" s="264" t="str">
        <f t="shared" si="18"/>
        <v/>
      </c>
      <c r="E106" s="264" t="str">
        <f t="shared" si="19"/>
        <v/>
      </c>
      <c r="F106" s="264" t="str">
        <f t="shared" si="20"/>
        <v/>
      </c>
      <c r="G106" s="264" t="str">
        <f t="shared" si="14"/>
        <v/>
      </c>
      <c r="H106" s="22"/>
      <c r="I106" s="22"/>
      <c r="J106" s="22"/>
      <c r="K106" s="22"/>
    </row>
    <row r="107" spans="1:11" ht="12" customHeight="1" x14ac:dyDescent="0.45">
      <c r="A107" s="262" t="str">
        <f t="shared" si="15"/>
        <v/>
      </c>
      <c r="B107" s="272" t="str">
        <f t="shared" si="16"/>
        <v/>
      </c>
      <c r="C107" s="264" t="str">
        <f t="shared" si="17"/>
        <v/>
      </c>
      <c r="D107" s="264" t="str">
        <f t="shared" si="18"/>
        <v/>
      </c>
      <c r="E107" s="264" t="str">
        <f t="shared" si="19"/>
        <v/>
      </c>
      <c r="F107" s="264" t="str">
        <f t="shared" si="20"/>
        <v/>
      </c>
      <c r="G107" s="264" t="str">
        <f t="shared" si="14"/>
        <v/>
      </c>
      <c r="H107" s="22"/>
      <c r="I107" s="22"/>
      <c r="J107" s="22"/>
      <c r="K107" s="22"/>
    </row>
    <row r="108" spans="1:11" ht="12" customHeight="1" x14ac:dyDescent="0.45">
      <c r="A108" s="262" t="str">
        <f t="shared" si="15"/>
        <v/>
      </c>
      <c r="B108" s="272" t="str">
        <f t="shared" si="16"/>
        <v/>
      </c>
      <c r="C108" s="264" t="str">
        <f t="shared" si="17"/>
        <v/>
      </c>
      <c r="D108" s="264" t="str">
        <f t="shared" si="18"/>
        <v/>
      </c>
      <c r="E108" s="264" t="str">
        <f t="shared" si="19"/>
        <v/>
      </c>
      <c r="F108" s="264" t="str">
        <f t="shared" si="20"/>
        <v/>
      </c>
      <c r="G108" s="264" t="str">
        <f t="shared" si="14"/>
        <v/>
      </c>
      <c r="H108" s="22"/>
      <c r="I108" s="22"/>
      <c r="J108" s="22"/>
      <c r="K108" s="22"/>
    </row>
    <row r="109" spans="1:11" ht="12" customHeight="1" x14ac:dyDescent="0.45">
      <c r="A109" s="262" t="str">
        <f t="shared" si="15"/>
        <v/>
      </c>
      <c r="B109" s="272" t="str">
        <f t="shared" si="16"/>
        <v/>
      </c>
      <c r="C109" s="264" t="str">
        <f t="shared" si="17"/>
        <v/>
      </c>
      <c r="D109" s="264" t="str">
        <f t="shared" si="18"/>
        <v/>
      </c>
      <c r="E109" s="264" t="str">
        <f t="shared" si="19"/>
        <v/>
      </c>
      <c r="F109" s="264" t="str">
        <f t="shared" si="20"/>
        <v/>
      </c>
      <c r="G109" s="264" t="str">
        <f t="shared" si="14"/>
        <v/>
      </c>
      <c r="H109" s="22"/>
      <c r="I109" s="22"/>
      <c r="J109" s="22"/>
      <c r="K109" s="22"/>
    </row>
    <row r="110" spans="1:11" ht="12" customHeight="1" x14ac:dyDescent="0.45">
      <c r="A110" s="262" t="str">
        <f t="shared" si="15"/>
        <v/>
      </c>
      <c r="B110" s="272" t="str">
        <f t="shared" si="16"/>
        <v/>
      </c>
      <c r="C110" s="264" t="str">
        <f t="shared" si="17"/>
        <v/>
      </c>
      <c r="D110" s="264" t="str">
        <f t="shared" si="18"/>
        <v/>
      </c>
      <c r="E110" s="264" t="str">
        <f t="shared" si="19"/>
        <v/>
      </c>
      <c r="F110" s="264" t="str">
        <f t="shared" si="20"/>
        <v/>
      </c>
      <c r="G110" s="264" t="str">
        <f t="shared" si="14"/>
        <v/>
      </c>
      <c r="H110" s="22"/>
      <c r="I110" s="22"/>
      <c r="J110" s="22"/>
      <c r="K110" s="22"/>
    </row>
    <row r="111" spans="1:11" ht="12" customHeight="1" x14ac:dyDescent="0.45">
      <c r="A111" s="262" t="str">
        <f t="shared" si="15"/>
        <v/>
      </c>
      <c r="B111" s="272" t="str">
        <f t="shared" si="16"/>
        <v/>
      </c>
      <c r="C111" s="264" t="str">
        <f t="shared" si="17"/>
        <v/>
      </c>
      <c r="D111" s="264" t="str">
        <f t="shared" si="18"/>
        <v/>
      </c>
      <c r="E111" s="264" t="str">
        <f t="shared" si="19"/>
        <v/>
      </c>
      <c r="F111" s="264" t="str">
        <f t="shared" si="20"/>
        <v/>
      </c>
      <c r="G111" s="264" t="str">
        <f t="shared" si="14"/>
        <v/>
      </c>
      <c r="H111" s="22"/>
      <c r="I111" s="22"/>
      <c r="J111" s="22"/>
      <c r="K111" s="22"/>
    </row>
    <row r="112" spans="1:11" ht="12" customHeight="1" x14ac:dyDescent="0.45">
      <c r="A112" s="262" t="str">
        <f t="shared" si="15"/>
        <v/>
      </c>
      <c r="B112" s="272" t="str">
        <f t="shared" si="16"/>
        <v/>
      </c>
      <c r="C112" s="264" t="str">
        <f t="shared" si="17"/>
        <v/>
      </c>
      <c r="D112" s="264" t="str">
        <f t="shared" si="18"/>
        <v/>
      </c>
      <c r="E112" s="264" t="str">
        <f t="shared" si="19"/>
        <v/>
      </c>
      <c r="F112" s="264" t="str">
        <f t="shared" si="20"/>
        <v/>
      </c>
      <c r="G112" s="264" t="str">
        <f t="shared" ref="G112:G143" si="21">IF(OR(G111=0,G111=""),"",ROUND(C112-F112,2))</f>
        <v/>
      </c>
      <c r="H112" s="22"/>
      <c r="I112" s="22"/>
      <c r="J112" s="22"/>
      <c r="K112" s="22"/>
    </row>
    <row r="113" spans="1:11" ht="12" customHeight="1" x14ac:dyDescent="0.45">
      <c r="A113" s="262" t="str">
        <f t="shared" ref="A113:A146" si="22">IF(OR(G112=0,G112=""),"",(1+A112))</f>
        <v/>
      </c>
      <c r="B113" s="272" t="str">
        <f t="shared" ref="B113:B146" si="23">IF(OR(G112=0,G112=""),"",(365/$B$7+B112))</f>
        <v/>
      </c>
      <c r="C113" s="264" t="str">
        <f t="shared" ref="C113:C146" si="24">IF(OR(G112=0,G112=""),"",ROUND(G112,2))</f>
        <v/>
      </c>
      <c r="D113" s="264" t="str">
        <f t="shared" ref="D113:D144" si="25">IF(OR(G112=0,G112=""),"",ROUND(IF(C113+E113&lt;$D$5,C113+E113,$D$5),2))</f>
        <v/>
      </c>
      <c r="E113" s="264" t="str">
        <f t="shared" ref="E113:E146" si="26">IF(OR(G112=0,G112=""),"",ROUND(((1+($B$5/($B$8*100)))^($B$8/$B$7)-1)*C113,2))</f>
        <v/>
      </c>
      <c r="F113" s="264" t="str">
        <f t="shared" ref="F113:F144" si="27">IF(OR(G112=0,G112=""),"",D113-E113)</f>
        <v/>
      </c>
      <c r="G113" s="264" t="str">
        <f t="shared" si="21"/>
        <v/>
      </c>
      <c r="H113" s="22"/>
      <c r="I113" s="22"/>
      <c r="J113" s="22"/>
      <c r="K113" s="22"/>
    </row>
    <row r="114" spans="1:11" ht="12" customHeight="1" x14ac:dyDescent="0.45">
      <c r="A114" s="262" t="str">
        <f t="shared" si="22"/>
        <v/>
      </c>
      <c r="B114" s="272" t="str">
        <f t="shared" si="23"/>
        <v/>
      </c>
      <c r="C114" s="264" t="str">
        <f t="shared" si="24"/>
        <v/>
      </c>
      <c r="D114" s="264" t="str">
        <f t="shared" si="25"/>
        <v/>
      </c>
      <c r="E114" s="264" t="str">
        <f t="shared" si="26"/>
        <v/>
      </c>
      <c r="F114" s="264" t="str">
        <f t="shared" si="27"/>
        <v/>
      </c>
      <c r="G114" s="264" t="str">
        <f t="shared" si="21"/>
        <v/>
      </c>
      <c r="H114" s="22"/>
      <c r="I114" s="22"/>
      <c r="J114" s="22"/>
      <c r="K114" s="22"/>
    </row>
    <row r="115" spans="1:11" ht="12" customHeight="1" x14ac:dyDescent="0.45">
      <c r="A115" s="262" t="str">
        <f t="shared" si="22"/>
        <v/>
      </c>
      <c r="B115" s="272" t="str">
        <f t="shared" si="23"/>
        <v/>
      </c>
      <c r="C115" s="264" t="str">
        <f t="shared" si="24"/>
        <v/>
      </c>
      <c r="D115" s="264" t="str">
        <f t="shared" si="25"/>
        <v/>
      </c>
      <c r="E115" s="264" t="str">
        <f t="shared" si="26"/>
        <v/>
      </c>
      <c r="F115" s="264" t="str">
        <f t="shared" si="27"/>
        <v/>
      </c>
      <c r="G115" s="264" t="str">
        <f t="shared" si="21"/>
        <v/>
      </c>
      <c r="H115" s="22"/>
      <c r="I115" s="22"/>
      <c r="J115" s="22"/>
      <c r="K115" s="22"/>
    </row>
    <row r="116" spans="1:11" ht="12" customHeight="1" x14ac:dyDescent="0.45">
      <c r="A116" s="262" t="str">
        <f t="shared" si="22"/>
        <v/>
      </c>
      <c r="B116" s="272" t="str">
        <f t="shared" si="23"/>
        <v/>
      </c>
      <c r="C116" s="264" t="str">
        <f t="shared" si="24"/>
        <v/>
      </c>
      <c r="D116" s="264" t="str">
        <f t="shared" si="25"/>
        <v/>
      </c>
      <c r="E116" s="264" t="str">
        <f t="shared" si="26"/>
        <v/>
      </c>
      <c r="F116" s="264" t="str">
        <f t="shared" si="27"/>
        <v/>
      </c>
      <c r="G116" s="264" t="str">
        <f t="shared" si="21"/>
        <v/>
      </c>
      <c r="H116" s="22"/>
      <c r="I116" s="22"/>
      <c r="J116" s="22"/>
      <c r="K116" s="22"/>
    </row>
    <row r="117" spans="1:11" ht="12" customHeight="1" x14ac:dyDescent="0.45">
      <c r="A117" s="262" t="str">
        <f t="shared" si="22"/>
        <v/>
      </c>
      <c r="B117" s="272" t="str">
        <f t="shared" si="23"/>
        <v/>
      </c>
      <c r="C117" s="264" t="str">
        <f t="shared" si="24"/>
        <v/>
      </c>
      <c r="D117" s="264" t="str">
        <f t="shared" si="25"/>
        <v/>
      </c>
      <c r="E117" s="264" t="str">
        <f t="shared" si="26"/>
        <v/>
      </c>
      <c r="F117" s="264" t="str">
        <f t="shared" si="27"/>
        <v/>
      </c>
      <c r="G117" s="264" t="str">
        <f t="shared" si="21"/>
        <v/>
      </c>
      <c r="H117" s="22"/>
      <c r="I117" s="22"/>
      <c r="J117" s="22"/>
      <c r="K117" s="22"/>
    </row>
    <row r="118" spans="1:11" ht="12" customHeight="1" x14ac:dyDescent="0.45">
      <c r="A118" s="262" t="str">
        <f t="shared" si="22"/>
        <v/>
      </c>
      <c r="B118" s="272" t="str">
        <f t="shared" si="23"/>
        <v/>
      </c>
      <c r="C118" s="264" t="str">
        <f t="shared" si="24"/>
        <v/>
      </c>
      <c r="D118" s="264" t="str">
        <f t="shared" si="25"/>
        <v/>
      </c>
      <c r="E118" s="264" t="str">
        <f t="shared" si="26"/>
        <v/>
      </c>
      <c r="F118" s="264" t="str">
        <f t="shared" si="27"/>
        <v/>
      </c>
      <c r="G118" s="264" t="str">
        <f t="shared" si="21"/>
        <v/>
      </c>
      <c r="H118" s="22"/>
      <c r="I118" s="22"/>
      <c r="J118" s="22"/>
      <c r="K118" s="22"/>
    </row>
    <row r="119" spans="1:11" ht="12" customHeight="1" x14ac:dyDescent="0.45">
      <c r="A119" s="262" t="str">
        <f t="shared" si="22"/>
        <v/>
      </c>
      <c r="B119" s="272" t="str">
        <f t="shared" si="23"/>
        <v/>
      </c>
      <c r="C119" s="264" t="str">
        <f t="shared" si="24"/>
        <v/>
      </c>
      <c r="D119" s="264" t="str">
        <f t="shared" si="25"/>
        <v/>
      </c>
      <c r="E119" s="264" t="str">
        <f t="shared" si="26"/>
        <v/>
      </c>
      <c r="F119" s="264" t="str">
        <f t="shared" si="27"/>
        <v/>
      </c>
      <c r="G119" s="264" t="str">
        <f t="shared" si="21"/>
        <v/>
      </c>
      <c r="H119" s="22"/>
      <c r="I119" s="22"/>
      <c r="J119" s="22"/>
      <c r="K119" s="22"/>
    </row>
    <row r="120" spans="1:11" ht="12" customHeight="1" x14ac:dyDescent="0.45">
      <c r="A120" s="262" t="str">
        <f t="shared" si="22"/>
        <v/>
      </c>
      <c r="B120" s="272" t="str">
        <f t="shared" si="23"/>
        <v/>
      </c>
      <c r="C120" s="264" t="str">
        <f t="shared" si="24"/>
        <v/>
      </c>
      <c r="D120" s="264" t="str">
        <f t="shared" si="25"/>
        <v/>
      </c>
      <c r="E120" s="264" t="str">
        <f t="shared" si="26"/>
        <v/>
      </c>
      <c r="F120" s="264" t="str">
        <f t="shared" si="27"/>
        <v/>
      </c>
      <c r="G120" s="264" t="str">
        <f t="shared" si="21"/>
        <v/>
      </c>
      <c r="H120" s="22"/>
      <c r="I120" s="22"/>
      <c r="J120" s="22"/>
      <c r="K120" s="22"/>
    </row>
    <row r="121" spans="1:11" ht="12" customHeight="1" x14ac:dyDescent="0.45">
      <c r="A121" s="262" t="str">
        <f t="shared" si="22"/>
        <v/>
      </c>
      <c r="B121" s="272" t="str">
        <f t="shared" si="23"/>
        <v/>
      </c>
      <c r="C121" s="264" t="str">
        <f t="shared" si="24"/>
        <v/>
      </c>
      <c r="D121" s="264" t="str">
        <f t="shared" si="25"/>
        <v/>
      </c>
      <c r="E121" s="264" t="str">
        <f t="shared" si="26"/>
        <v/>
      </c>
      <c r="F121" s="264" t="str">
        <f t="shared" si="27"/>
        <v/>
      </c>
      <c r="G121" s="264" t="str">
        <f t="shared" si="21"/>
        <v/>
      </c>
      <c r="H121" s="22"/>
      <c r="I121" s="22"/>
      <c r="J121" s="22"/>
      <c r="K121" s="22"/>
    </row>
    <row r="122" spans="1:11" ht="12" customHeight="1" x14ac:dyDescent="0.45">
      <c r="A122" s="262" t="str">
        <f t="shared" si="22"/>
        <v/>
      </c>
      <c r="B122" s="272" t="str">
        <f t="shared" si="23"/>
        <v/>
      </c>
      <c r="C122" s="264" t="str">
        <f t="shared" si="24"/>
        <v/>
      </c>
      <c r="D122" s="264" t="str">
        <f t="shared" si="25"/>
        <v/>
      </c>
      <c r="E122" s="264" t="str">
        <f t="shared" si="26"/>
        <v/>
      </c>
      <c r="F122" s="264" t="str">
        <f t="shared" si="27"/>
        <v/>
      </c>
      <c r="G122" s="264" t="str">
        <f t="shared" si="21"/>
        <v/>
      </c>
      <c r="H122" s="22"/>
      <c r="I122" s="22"/>
      <c r="J122" s="22"/>
      <c r="K122" s="22"/>
    </row>
    <row r="123" spans="1:11" ht="12" customHeight="1" x14ac:dyDescent="0.45">
      <c r="A123" s="262" t="str">
        <f t="shared" si="22"/>
        <v/>
      </c>
      <c r="B123" s="272" t="str">
        <f t="shared" si="23"/>
        <v/>
      </c>
      <c r="C123" s="264" t="str">
        <f t="shared" si="24"/>
        <v/>
      </c>
      <c r="D123" s="264" t="str">
        <f t="shared" si="25"/>
        <v/>
      </c>
      <c r="E123" s="264" t="str">
        <f t="shared" si="26"/>
        <v/>
      </c>
      <c r="F123" s="264" t="str">
        <f t="shared" si="27"/>
        <v/>
      </c>
      <c r="G123" s="264" t="str">
        <f t="shared" si="21"/>
        <v/>
      </c>
      <c r="H123" s="22"/>
      <c r="I123" s="22"/>
      <c r="J123" s="22"/>
      <c r="K123" s="22"/>
    </row>
    <row r="124" spans="1:11" ht="12" customHeight="1" x14ac:dyDescent="0.45">
      <c r="A124" s="262" t="str">
        <f t="shared" si="22"/>
        <v/>
      </c>
      <c r="B124" s="272" t="str">
        <f t="shared" si="23"/>
        <v/>
      </c>
      <c r="C124" s="264" t="str">
        <f t="shared" si="24"/>
        <v/>
      </c>
      <c r="D124" s="264" t="str">
        <f t="shared" si="25"/>
        <v/>
      </c>
      <c r="E124" s="264" t="str">
        <f t="shared" si="26"/>
        <v/>
      </c>
      <c r="F124" s="264" t="str">
        <f t="shared" si="27"/>
        <v/>
      </c>
      <c r="G124" s="264" t="str">
        <f t="shared" si="21"/>
        <v/>
      </c>
      <c r="H124" s="22"/>
      <c r="I124" s="22"/>
      <c r="J124" s="22"/>
      <c r="K124" s="22"/>
    </row>
    <row r="125" spans="1:11" ht="12" customHeight="1" x14ac:dyDescent="0.45">
      <c r="A125" s="262" t="str">
        <f t="shared" si="22"/>
        <v/>
      </c>
      <c r="B125" s="272" t="str">
        <f t="shared" si="23"/>
        <v/>
      </c>
      <c r="C125" s="264" t="str">
        <f t="shared" si="24"/>
        <v/>
      </c>
      <c r="D125" s="264" t="str">
        <f t="shared" si="25"/>
        <v/>
      </c>
      <c r="E125" s="264" t="str">
        <f t="shared" si="26"/>
        <v/>
      </c>
      <c r="F125" s="264" t="str">
        <f t="shared" si="27"/>
        <v/>
      </c>
      <c r="G125" s="264" t="str">
        <f t="shared" si="21"/>
        <v/>
      </c>
      <c r="H125" s="22"/>
      <c r="I125" s="22"/>
      <c r="J125" s="22"/>
      <c r="K125" s="22"/>
    </row>
    <row r="126" spans="1:11" ht="12" customHeight="1" x14ac:dyDescent="0.45">
      <c r="A126" s="262" t="str">
        <f t="shared" si="22"/>
        <v/>
      </c>
      <c r="B126" s="272" t="str">
        <f t="shared" si="23"/>
        <v/>
      </c>
      <c r="C126" s="264" t="str">
        <f t="shared" si="24"/>
        <v/>
      </c>
      <c r="D126" s="264" t="str">
        <f t="shared" si="25"/>
        <v/>
      </c>
      <c r="E126" s="264" t="str">
        <f t="shared" si="26"/>
        <v/>
      </c>
      <c r="F126" s="264" t="str">
        <f t="shared" si="27"/>
        <v/>
      </c>
      <c r="G126" s="264" t="str">
        <f t="shared" si="21"/>
        <v/>
      </c>
      <c r="H126" s="22"/>
      <c r="I126" s="22"/>
      <c r="J126" s="22"/>
      <c r="K126" s="22"/>
    </row>
    <row r="127" spans="1:11" ht="12" customHeight="1" x14ac:dyDescent="0.45">
      <c r="A127" s="262" t="str">
        <f t="shared" si="22"/>
        <v/>
      </c>
      <c r="B127" s="272" t="str">
        <f t="shared" si="23"/>
        <v/>
      </c>
      <c r="C127" s="264" t="str">
        <f t="shared" si="24"/>
        <v/>
      </c>
      <c r="D127" s="264" t="str">
        <f t="shared" si="25"/>
        <v/>
      </c>
      <c r="E127" s="264" t="str">
        <f t="shared" si="26"/>
        <v/>
      </c>
      <c r="F127" s="264" t="str">
        <f t="shared" si="27"/>
        <v/>
      </c>
      <c r="G127" s="264" t="str">
        <f t="shared" si="21"/>
        <v/>
      </c>
      <c r="H127" s="22"/>
      <c r="I127" s="22"/>
      <c r="J127" s="22"/>
      <c r="K127" s="22"/>
    </row>
    <row r="128" spans="1:11" ht="12" customHeight="1" x14ac:dyDescent="0.45">
      <c r="A128" s="262" t="str">
        <f t="shared" si="22"/>
        <v/>
      </c>
      <c r="B128" s="272" t="str">
        <f t="shared" si="23"/>
        <v/>
      </c>
      <c r="C128" s="264" t="str">
        <f t="shared" si="24"/>
        <v/>
      </c>
      <c r="D128" s="264" t="str">
        <f t="shared" si="25"/>
        <v/>
      </c>
      <c r="E128" s="264" t="str">
        <f t="shared" si="26"/>
        <v/>
      </c>
      <c r="F128" s="264" t="str">
        <f t="shared" si="27"/>
        <v/>
      </c>
      <c r="G128" s="264" t="str">
        <f t="shared" si="21"/>
        <v/>
      </c>
      <c r="H128" s="22"/>
      <c r="I128" s="22"/>
      <c r="J128" s="22"/>
      <c r="K128" s="22"/>
    </row>
    <row r="129" spans="1:11" ht="12" customHeight="1" x14ac:dyDescent="0.45">
      <c r="A129" s="262" t="str">
        <f t="shared" si="22"/>
        <v/>
      </c>
      <c r="B129" s="272" t="str">
        <f t="shared" si="23"/>
        <v/>
      </c>
      <c r="C129" s="264" t="str">
        <f t="shared" si="24"/>
        <v/>
      </c>
      <c r="D129" s="264" t="str">
        <f t="shared" si="25"/>
        <v/>
      </c>
      <c r="E129" s="264" t="str">
        <f t="shared" si="26"/>
        <v/>
      </c>
      <c r="F129" s="264" t="str">
        <f t="shared" si="27"/>
        <v/>
      </c>
      <c r="G129" s="264" t="str">
        <f t="shared" si="21"/>
        <v/>
      </c>
      <c r="H129" s="22"/>
      <c r="I129" s="22"/>
      <c r="J129" s="22"/>
      <c r="K129" s="22"/>
    </row>
    <row r="130" spans="1:11" ht="12" customHeight="1" x14ac:dyDescent="0.45">
      <c r="A130" s="262" t="str">
        <f t="shared" si="22"/>
        <v/>
      </c>
      <c r="B130" s="272" t="str">
        <f t="shared" si="23"/>
        <v/>
      </c>
      <c r="C130" s="264" t="str">
        <f t="shared" si="24"/>
        <v/>
      </c>
      <c r="D130" s="264" t="str">
        <f t="shared" si="25"/>
        <v/>
      </c>
      <c r="E130" s="264" t="str">
        <f t="shared" si="26"/>
        <v/>
      </c>
      <c r="F130" s="264" t="str">
        <f t="shared" si="27"/>
        <v/>
      </c>
      <c r="G130" s="264" t="str">
        <f t="shared" si="21"/>
        <v/>
      </c>
      <c r="H130" s="22"/>
      <c r="I130" s="22"/>
      <c r="J130" s="22"/>
      <c r="K130" s="22"/>
    </row>
    <row r="131" spans="1:11" ht="12" customHeight="1" x14ac:dyDescent="0.45">
      <c r="A131" s="262" t="str">
        <f t="shared" si="22"/>
        <v/>
      </c>
      <c r="B131" s="272" t="str">
        <f t="shared" si="23"/>
        <v/>
      </c>
      <c r="C131" s="264" t="str">
        <f t="shared" si="24"/>
        <v/>
      </c>
      <c r="D131" s="264" t="str">
        <f t="shared" si="25"/>
        <v/>
      </c>
      <c r="E131" s="264" t="str">
        <f t="shared" si="26"/>
        <v/>
      </c>
      <c r="F131" s="264" t="str">
        <f t="shared" si="27"/>
        <v/>
      </c>
      <c r="G131" s="264" t="str">
        <f t="shared" si="21"/>
        <v/>
      </c>
      <c r="H131" s="22"/>
      <c r="I131" s="22"/>
      <c r="J131" s="22"/>
      <c r="K131" s="22"/>
    </row>
    <row r="132" spans="1:11" ht="12" customHeight="1" x14ac:dyDescent="0.45">
      <c r="A132" s="262" t="str">
        <f t="shared" si="22"/>
        <v/>
      </c>
      <c r="B132" s="272" t="str">
        <f t="shared" si="23"/>
        <v/>
      </c>
      <c r="C132" s="264" t="str">
        <f t="shared" si="24"/>
        <v/>
      </c>
      <c r="D132" s="264" t="str">
        <f t="shared" si="25"/>
        <v/>
      </c>
      <c r="E132" s="264" t="str">
        <f t="shared" si="26"/>
        <v/>
      </c>
      <c r="F132" s="264" t="str">
        <f t="shared" si="27"/>
        <v/>
      </c>
      <c r="G132" s="264" t="str">
        <f t="shared" si="21"/>
        <v/>
      </c>
      <c r="H132" s="22"/>
      <c r="I132" s="22"/>
      <c r="J132" s="22"/>
      <c r="K132" s="22"/>
    </row>
    <row r="133" spans="1:11" ht="12" customHeight="1" x14ac:dyDescent="0.45">
      <c r="A133" s="3" t="str">
        <f t="shared" si="22"/>
        <v/>
      </c>
      <c r="B133" s="14" t="str">
        <f t="shared" si="23"/>
        <v/>
      </c>
      <c r="C133" s="2" t="str">
        <f t="shared" si="24"/>
        <v/>
      </c>
      <c r="D133" s="2" t="str">
        <f t="shared" si="25"/>
        <v/>
      </c>
      <c r="E133" s="2" t="str">
        <f t="shared" si="26"/>
        <v/>
      </c>
      <c r="F133" s="2" t="str">
        <f t="shared" si="27"/>
        <v/>
      </c>
      <c r="G133" s="2" t="str">
        <f t="shared" si="21"/>
        <v/>
      </c>
    </row>
    <row r="134" spans="1:11" ht="12" customHeight="1" x14ac:dyDescent="0.45">
      <c r="A134" s="3" t="str">
        <f t="shared" si="22"/>
        <v/>
      </c>
      <c r="B134" s="14" t="str">
        <f t="shared" si="23"/>
        <v/>
      </c>
      <c r="C134" s="2" t="str">
        <f t="shared" si="24"/>
        <v/>
      </c>
      <c r="D134" s="2" t="str">
        <f t="shared" si="25"/>
        <v/>
      </c>
      <c r="E134" s="2" t="str">
        <f t="shared" si="26"/>
        <v/>
      </c>
      <c r="F134" s="2" t="str">
        <f t="shared" si="27"/>
        <v/>
      </c>
      <c r="G134" s="2" t="str">
        <f t="shared" si="21"/>
        <v/>
      </c>
    </row>
    <row r="135" spans="1:11" ht="12" customHeight="1" x14ac:dyDescent="0.45">
      <c r="A135" s="3" t="str">
        <f t="shared" si="22"/>
        <v/>
      </c>
      <c r="B135" s="14" t="str">
        <f t="shared" si="23"/>
        <v/>
      </c>
      <c r="C135" s="2" t="str">
        <f t="shared" si="24"/>
        <v/>
      </c>
      <c r="D135" s="2" t="str">
        <f t="shared" si="25"/>
        <v/>
      </c>
      <c r="E135" s="2" t="str">
        <f t="shared" si="26"/>
        <v/>
      </c>
      <c r="F135" s="2" t="str">
        <f t="shared" si="27"/>
        <v/>
      </c>
      <c r="G135" s="2" t="str">
        <f t="shared" si="21"/>
        <v/>
      </c>
    </row>
    <row r="136" spans="1:11" ht="12" customHeight="1" x14ac:dyDescent="0.45">
      <c r="A136" s="3" t="str">
        <f t="shared" si="22"/>
        <v/>
      </c>
      <c r="B136" s="14" t="str">
        <f t="shared" si="23"/>
        <v/>
      </c>
      <c r="C136" s="2" t="str">
        <f t="shared" si="24"/>
        <v/>
      </c>
      <c r="D136" s="2" t="str">
        <f t="shared" si="25"/>
        <v/>
      </c>
      <c r="E136" s="2" t="str">
        <f t="shared" si="26"/>
        <v/>
      </c>
      <c r="F136" s="2" t="str">
        <f t="shared" si="27"/>
        <v/>
      </c>
      <c r="G136" s="2" t="str">
        <f t="shared" si="21"/>
        <v/>
      </c>
    </row>
    <row r="137" spans="1:11" ht="12" customHeight="1" x14ac:dyDescent="0.45">
      <c r="A137" s="3" t="str">
        <f t="shared" si="22"/>
        <v/>
      </c>
      <c r="B137" s="14" t="str">
        <f t="shared" si="23"/>
        <v/>
      </c>
      <c r="C137" s="2" t="str">
        <f t="shared" si="24"/>
        <v/>
      </c>
      <c r="D137" s="2" t="str">
        <f t="shared" si="25"/>
        <v/>
      </c>
      <c r="E137" s="2" t="str">
        <f t="shared" si="26"/>
        <v/>
      </c>
      <c r="F137" s="2" t="str">
        <f t="shared" si="27"/>
        <v/>
      </c>
      <c r="G137" s="2" t="str">
        <f t="shared" si="21"/>
        <v/>
      </c>
    </row>
    <row r="138" spans="1:11" ht="12" customHeight="1" x14ac:dyDescent="0.45">
      <c r="A138" s="3" t="str">
        <f t="shared" si="22"/>
        <v/>
      </c>
      <c r="B138" s="14" t="str">
        <f t="shared" si="23"/>
        <v/>
      </c>
      <c r="C138" s="2" t="str">
        <f t="shared" si="24"/>
        <v/>
      </c>
      <c r="D138" s="2" t="str">
        <f t="shared" si="25"/>
        <v/>
      </c>
      <c r="E138" s="2" t="str">
        <f t="shared" si="26"/>
        <v/>
      </c>
      <c r="F138" s="2" t="str">
        <f t="shared" si="27"/>
        <v/>
      </c>
      <c r="G138" s="2" t="str">
        <f t="shared" si="21"/>
        <v/>
      </c>
    </row>
    <row r="139" spans="1:11" ht="12" customHeight="1" x14ac:dyDescent="0.45">
      <c r="A139" s="3" t="str">
        <f t="shared" si="22"/>
        <v/>
      </c>
      <c r="B139" s="14" t="str">
        <f t="shared" si="23"/>
        <v/>
      </c>
      <c r="C139" s="2" t="str">
        <f t="shared" si="24"/>
        <v/>
      </c>
      <c r="D139" s="2" t="str">
        <f t="shared" si="25"/>
        <v/>
      </c>
      <c r="E139" s="2" t="str">
        <f t="shared" si="26"/>
        <v/>
      </c>
      <c r="F139" s="2" t="str">
        <f t="shared" si="27"/>
        <v/>
      </c>
      <c r="G139" s="2" t="str">
        <f t="shared" si="21"/>
        <v/>
      </c>
    </row>
    <row r="140" spans="1:11" ht="12" customHeight="1" x14ac:dyDescent="0.45">
      <c r="A140" s="3" t="str">
        <f t="shared" si="22"/>
        <v/>
      </c>
      <c r="B140" s="14" t="str">
        <f t="shared" si="23"/>
        <v/>
      </c>
      <c r="C140" s="2" t="str">
        <f t="shared" si="24"/>
        <v/>
      </c>
      <c r="D140" s="2" t="str">
        <f t="shared" si="25"/>
        <v/>
      </c>
      <c r="E140" s="2" t="str">
        <f t="shared" si="26"/>
        <v/>
      </c>
      <c r="F140" s="2" t="str">
        <f t="shared" si="27"/>
        <v/>
      </c>
      <c r="G140" s="2" t="str">
        <f t="shared" si="21"/>
        <v/>
      </c>
    </row>
    <row r="141" spans="1:11" ht="12" customHeight="1" x14ac:dyDescent="0.45">
      <c r="A141" s="3" t="str">
        <f t="shared" si="22"/>
        <v/>
      </c>
      <c r="B141" s="14" t="str">
        <f t="shared" si="23"/>
        <v/>
      </c>
      <c r="C141" s="2" t="str">
        <f t="shared" si="24"/>
        <v/>
      </c>
      <c r="D141" s="2" t="str">
        <f t="shared" si="25"/>
        <v/>
      </c>
      <c r="E141" s="2" t="str">
        <f t="shared" si="26"/>
        <v/>
      </c>
      <c r="F141" s="2" t="str">
        <f t="shared" si="27"/>
        <v/>
      </c>
      <c r="G141" s="2" t="str">
        <f t="shared" si="21"/>
        <v/>
      </c>
    </row>
    <row r="142" spans="1:11" ht="12" customHeight="1" x14ac:dyDescent="0.45">
      <c r="A142" s="3" t="str">
        <f t="shared" si="22"/>
        <v/>
      </c>
      <c r="B142" s="14" t="str">
        <f t="shared" si="23"/>
        <v/>
      </c>
      <c r="C142" s="2" t="str">
        <f t="shared" si="24"/>
        <v/>
      </c>
      <c r="D142" s="2" t="str">
        <f t="shared" si="25"/>
        <v/>
      </c>
      <c r="E142" s="2" t="str">
        <f t="shared" si="26"/>
        <v/>
      </c>
      <c r="F142" s="2" t="str">
        <f t="shared" si="27"/>
        <v/>
      </c>
      <c r="G142" s="2" t="str">
        <f t="shared" si="21"/>
        <v/>
      </c>
    </row>
    <row r="143" spans="1:11" ht="12" customHeight="1" x14ac:dyDescent="0.45">
      <c r="A143" s="3" t="str">
        <f t="shared" si="22"/>
        <v/>
      </c>
      <c r="B143" s="14" t="str">
        <f t="shared" si="23"/>
        <v/>
      </c>
      <c r="C143" s="2" t="str">
        <f t="shared" si="24"/>
        <v/>
      </c>
      <c r="D143" s="2" t="str">
        <f t="shared" si="25"/>
        <v/>
      </c>
      <c r="E143" s="2" t="str">
        <f t="shared" si="26"/>
        <v/>
      </c>
      <c r="F143" s="2" t="str">
        <f t="shared" si="27"/>
        <v/>
      </c>
      <c r="G143" s="2" t="str">
        <f t="shared" si="21"/>
        <v/>
      </c>
    </row>
    <row r="144" spans="1:11" ht="12" customHeight="1" x14ac:dyDescent="0.45">
      <c r="A144" s="3" t="str">
        <f t="shared" si="22"/>
        <v/>
      </c>
      <c r="B144" s="14" t="str">
        <f t="shared" si="23"/>
        <v/>
      </c>
      <c r="C144" s="2" t="str">
        <f t="shared" si="24"/>
        <v/>
      </c>
      <c r="D144" s="2" t="str">
        <f t="shared" si="25"/>
        <v/>
      </c>
      <c r="E144" s="2" t="str">
        <f t="shared" si="26"/>
        <v/>
      </c>
      <c r="F144" s="2" t="str">
        <f t="shared" si="27"/>
        <v/>
      </c>
      <c r="G144" s="2" t="str">
        <f t="shared" ref="G144:G146" si="28">IF(OR(G143=0,G143=""),"",ROUND(C144-F144,2))</f>
        <v/>
      </c>
    </row>
    <row r="145" spans="1:7" ht="12" customHeight="1" x14ac:dyDescent="0.45">
      <c r="A145" s="3" t="str">
        <f t="shared" si="22"/>
        <v/>
      </c>
      <c r="B145" s="14" t="str">
        <f t="shared" si="23"/>
        <v/>
      </c>
      <c r="C145" s="2" t="str">
        <f t="shared" si="24"/>
        <v/>
      </c>
      <c r="D145" s="2" t="str">
        <f t="shared" ref="D145:D146" si="29">IF(OR(G144=0,G144=""),"",ROUND(IF(C145+E145&lt;$D$5,C145+E145,$D$5),2))</f>
        <v/>
      </c>
      <c r="E145" s="2" t="str">
        <f t="shared" si="26"/>
        <v/>
      </c>
      <c r="F145" s="2" t="str">
        <f t="shared" ref="F145:F146" si="30">IF(OR(G144=0,G144=""),"",D145-E145)</f>
        <v/>
      </c>
      <c r="G145" s="2" t="str">
        <f t="shared" si="28"/>
        <v/>
      </c>
    </row>
    <row r="146" spans="1:7" ht="12" customHeight="1" x14ac:dyDescent="0.45">
      <c r="A146" s="3" t="str">
        <f t="shared" si="22"/>
        <v/>
      </c>
      <c r="B146" s="3" t="str">
        <f t="shared" si="23"/>
        <v/>
      </c>
      <c r="C146" s="2" t="str">
        <f t="shared" si="24"/>
        <v/>
      </c>
      <c r="D146" s="2" t="str">
        <f t="shared" si="29"/>
        <v/>
      </c>
      <c r="E146" s="2" t="str">
        <f t="shared" si="26"/>
        <v/>
      </c>
      <c r="F146" s="2" t="str">
        <f t="shared" si="30"/>
        <v/>
      </c>
      <c r="G146" s="2" t="str">
        <f t="shared" si="28"/>
        <v/>
      </c>
    </row>
  </sheetData>
  <sheetProtection sheet="1" formatColumns="0"/>
  <mergeCells count="3">
    <mergeCell ref="A13:G13"/>
    <mergeCell ref="D8:F8"/>
    <mergeCell ref="A2:G2"/>
  </mergeCells>
  <pageMargins left="0.39370078740157483" right="0.39370078740157483" top="0.78740157480314965" bottom="0.19685039370078741" header="0.31496062992125984" footer="0.31496062992125984"/>
  <pageSetup scale="83" fitToHeight="0" orientation="portrait" r:id="rId1"/>
  <ignoredErrors>
    <ignoredError sqref="B4" unlockedFormula="1"/>
  </ignoredErrors>
  <drawing r:id="rId2"/>
</worksheet>
</file>

<file path=docMetadata/LabelInfo.xml><?xml version="1.0" encoding="utf-8"?>
<clbl:labelList xmlns:clbl="http://schemas.microsoft.com/office/2020/mipLabelMetadata">
  <clbl:label id="{3143a543-edee-49dc-bd20-22d7a8454e52}" enabled="0" method="" siteId="{3143a543-edee-49dc-bd20-22d7a8454e5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4</vt:i4>
      </vt:variant>
    </vt:vector>
  </HeadingPairs>
  <TitlesOfParts>
    <vt:vector size="10" baseType="lpstr">
      <vt:lpstr>Guide utilisation</vt:lpstr>
      <vt:lpstr>Données techniques</vt:lpstr>
      <vt:lpstr>Calcul remplacement (à masquer)</vt:lpstr>
      <vt:lpstr>BUDGET Acheter ou produire</vt:lpstr>
      <vt:lpstr>BUDGET Amélioration performance</vt:lpstr>
      <vt:lpstr>Financement</vt:lpstr>
      <vt:lpstr>'BUDGET Acheter ou produire'!Impression_des_titres</vt:lpstr>
      <vt:lpstr>'Données techniques'!Impression_des_titres</vt:lpstr>
      <vt:lpstr>'BUDGET Amélioration performance'!Zone_d_impression</vt:lpstr>
      <vt:lpstr>Financement!Zone_d_impression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Landry Stéphanie (DRBSL) (Rimouski)</dc:creator>
  <cp:keywords/>
  <dc:description/>
  <cp:lastModifiedBy>Therrien Marie-Ange (DRE) (Sherbrooke)</cp:lastModifiedBy>
  <cp:revision/>
  <dcterms:created xsi:type="dcterms:W3CDTF">2015-06-05T18:19:34Z</dcterms:created>
  <dcterms:modified xsi:type="dcterms:W3CDTF">2025-01-09T21:43:41Z</dcterms:modified>
  <cp:category/>
  <cp:contentStatus/>
</cp:coreProperties>
</file>